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DGSNAS2\home\mgray\Desktop\Temporary\07-22 CPSM Form Updates\"/>
    </mc:Choice>
  </mc:AlternateContent>
  <bookViews>
    <workbookView xWindow="0" yWindow="0" windowWidth="23040" windowHeight="10632" tabRatio="935"/>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Budget!$A$2:$T$73</definedName>
    <definedName name="_xlnm.Print_Area" localSheetId="18">'DP Est'!$A$1:$G$49</definedName>
    <definedName name="_xlnm.Print_Area" localSheetId="16">DWGs!$A$2:$C$70</definedName>
    <definedName name="_xlnm.Print_Area" localSheetId="19">Escalation!$A$1:$L$46</definedName>
    <definedName name="_xlnm.Print_Area" localSheetId="15">Estimate!$A$2:$F$81</definedName>
    <definedName name="_xlnm.Print_Area" localSheetId="1">'Executive Summary'!$B$1:$J$34</definedName>
    <definedName name="_xlnm.Print_Area" localSheetId="17">HCI!$GC$3:$GI$29</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Overview!$A$2:$F$60</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62913"/>
</workbook>
</file>

<file path=xl/calcChain.xml><?xml version="1.0" encoding="utf-8"?>
<calcChain xmlns="http://schemas.openxmlformats.org/spreadsheetml/2006/main">
  <c r="I22" i="84" l="1"/>
  <c r="G18" i="84"/>
  <c r="E18" i="84"/>
  <c r="G17" i="84"/>
  <c r="E17" i="84"/>
  <c r="J18" i="84"/>
  <c r="J17" i="84"/>
  <c r="H18" i="84"/>
  <c r="H17" i="84"/>
  <c r="H16" i="84"/>
  <c r="J16" i="84"/>
  <c r="G16" i="84"/>
  <c r="E16" i="84"/>
  <c r="D29" i="82" l="1"/>
  <c r="D28" i="82"/>
  <c r="D24" i="82"/>
  <c r="M14" i="83"/>
  <c r="M26" i="83"/>
  <c r="M32" i="83"/>
  <c r="E34" i="83"/>
  <c r="E28" i="83"/>
  <c r="J28" i="83" s="1"/>
  <c r="J34" i="83"/>
  <c r="I34" i="83"/>
  <c r="I28" i="83"/>
  <c r="H34" i="83"/>
  <c r="G34" i="83"/>
  <c r="G28" i="83"/>
  <c r="H28" i="83"/>
  <c r="F34" i="83"/>
  <c r="F28" i="83"/>
  <c r="F26" i="83"/>
  <c r="F32" i="83"/>
  <c r="G30" i="83"/>
  <c r="G24" i="83"/>
  <c r="E16" i="83"/>
  <c r="J16" i="83"/>
  <c r="H16" i="83"/>
  <c r="F16" i="83"/>
  <c r="F14" i="83"/>
  <c r="G14" i="83" s="1"/>
  <c r="G12" i="83"/>
  <c r="G16" i="83"/>
  <c r="I16" i="83"/>
  <c r="Q71" i="9" l="1"/>
  <c r="P71" i="9"/>
  <c r="O71" i="9"/>
  <c r="N71" i="9"/>
  <c r="M70" i="9"/>
  <c r="L70" i="9"/>
  <c r="M69" i="9"/>
  <c r="L69" i="9"/>
  <c r="K69" i="9"/>
  <c r="J69" i="9"/>
  <c r="H69" i="9"/>
  <c r="Q68" i="9"/>
  <c r="P68" i="9"/>
  <c r="O68" i="9"/>
  <c r="N68" i="9"/>
  <c r="M68" i="9"/>
  <c r="L68" i="9"/>
  <c r="K68" i="9"/>
  <c r="J68" i="9"/>
  <c r="I68" i="9"/>
  <c r="H68" i="9"/>
  <c r="AJ65" i="9"/>
  <c r="P65" i="9" s="1"/>
  <c r="P70" i="9" s="1"/>
  <c r="AI65" i="9"/>
  <c r="O65" i="9" s="1"/>
  <c r="O70" i="9" s="1"/>
  <c r="AG65" i="9"/>
  <c r="AF65" i="9"/>
  <c r="M65" i="9"/>
  <c r="L65" i="9"/>
  <c r="Q62" i="9"/>
  <c r="P62" i="9"/>
  <c r="O62" i="9"/>
  <c r="N62" i="9"/>
  <c r="M62" i="9"/>
  <c r="M71" i="9" s="1"/>
  <c r="L62" i="9"/>
  <c r="L71" i="9" s="1"/>
  <c r="K62" i="9"/>
  <c r="K71" i="9" s="1"/>
  <c r="J62" i="9"/>
  <c r="J71" i="9" s="1"/>
  <c r="H62" i="9"/>
  <c r="H71" i="9" s="1"/>
  <c r="F61" i="9"/>
  <c r="Q55" i="9"/>
  <c r="P55" i="9"/>
  <c r="O55" i="9"/>
  <c r="N55" i="9"/>
  <c r="M55" i="9"/>
  <c r="L55" i="9"/>
  <c r="K55" i="9"/>
  <c r="J55" i="9"/>
  <c r="H55" i="9"/>
  <c r="F54" i="9"/>
  <c r="F53" i="9"/>
  <c r="I50" i="9"/>
  <c r="F50" i="9"/>
  <c r="F49" i="9"/>
  <c r="F47" i="9"/>
  <c r="F42" i="9"/>
  <c r="F40" i="9"/>
  <c r="F39" i="9"/>
  <c r="F37" i="9"/>
  <c r="Q34" i="9"/>
  <c r="P34" i="9"/>
  <c r="O34" i="9"/>
  <c r="N34" i="9"/>
  <c r="M34" i="9"/>
  <c r="L34" i="9"/>
  <c r="K34" i="9"/>
  <c r="J34" i="9"/>
  <c r="H34" i="9"/>
  <c r="I32" i="9"/>
  <c r="Q29" i="9"/>
  <c r="P29" i="9"/>
  <c r="O29" i="9"/>
  <c r="N29" i="9"/>
  <c r="M29" i="9"/>
  <c r="L29" i="9"/>
  <c r="K29" i="9"/>
  <c r="J29" i="9"/>
  <c r="H29" i="9"/>
  <c r="F28" i="9"/>
  <c r="F27" i="9"/>
  <c r="F25" i="9"/>
  <c r="F24" i="9"/>
  <c r="I21" i="9"/>
  <c r="I22" i="9" s="1"/>
  <c r="F22" i="9" s="1"/>
  <c r="I20" i="9"/>
  <c r="F20" i="9" s="1"/>
  <c r="F18" i="9"/>
  <c r="I17" i="9"/>
  <c r="F17" i="9"/>
  <c r="I16" i="9"/>
  <c r="F16" i="9"/>
  <c r="F15" i="9"/>
  <c r="Q12" i="9"/>
  <c r="Q69" i="9" s="1"/>
  <c r="P12" i="9"/>
  <c r="P69" i="9" s="1"/>
  <c r="O12" i="9"/>
  <c r="O69" i="9" s="1"/>
  <c r="O72" i="9" s="1"/>
  <c r="N12" i="9"/>
  <c r="AH65" i="9" s="1"/>
  <c r="N65" i="9" s="1"/>
  <c r="N70" i="9" s="1"/>
  <c r="M12" i="9"/>
  <c r="L12" i="9"/>
  <c r="K12" i="9"/>
  <c r="AE65" i="9" s="1"/>
  <c r="K65" i="9" s="1"/>
  <c r="K70" i="9" s="1"/>
  <c r="J12" i="9"/>
  <c r="AD65" i="9" s="1"/>
  <c r="J65" i="9" s="1"/>
  <c r="J70" i="9" s="1"/>
  <c r="H12" i="9"/>
  <c r="I11" i="9"/>
  <c r="I12" i="9" s="1"/>
  <c r="F8" i="9"/>
  <c r="E8" i="9" s="1"/>
  <c r="E68" i="9" s="1"/>
  <c r="F11" i="9" l="1"/>
  <c r="F21" i="9"/>
  <c r="J72" i="9"/>
  <c r="L72" i="9"/>
  <c r="K72" i="9"/>
  <c r="M72" i="9"/>
  <c r="P72" i="9"/>
  <c r="I19" i="9"/>
  <c r="F19" i="9" s="1"/>
  <c r="I41" i="9"/>
  <c r="AC65" i="9"/>
  <c r="I65" i="9" s="1"/>
  <c r="I69" i="9"/>
  <c r="F12" i="9"/>
  <c r="N69" i="9"/>
  <c r="N72" i="9" s="1"/>
  <c r="AB65" i="9"/>
  <c r="H65" i="9" s="1"/>
  <c r="H70" i="9" s="1"/>
  <c r="H72" i="9" s="1"/>
  <c r="AK65" i="9"/>
  <c r="Q65" i="9" s="1"/>
  <c r="Q70" i="9" s="1"/>
  <c r="Q72" i="9" s="1"/>
  <c r="F32" i="9"/>
  <c r="D8" i="79"/>
  <c r="I8" i="83"/>
  <c r="I6" i="83"/>
  <c r="I4" i="83"/>
  <c r="C25" i="74"/>
  <c r="D19" i="74"/>
  <c r="C19" i="74"/>
  <c r="G25" i="67"/>
  <c r="F25" i="67"/>
  <c r="E25" i="67"/>
  <c r="D8" i="67"/>
  <c r="G25" i="80"/>
  <c r="F25" i="80"/>
  <c r="E25" i="80"/>
  <c r="D8" i="80"/>
  <c r="G25" i="79"/>
  <c r="F25" i="79"/>
  <c r="E25" i="79"/>
  <c r="F68" i="9" l="1"/>
  <c r="F69" i="9"/>
  <c r="F41" i="9"/>
  <c r="F65" i="9"/>
  <c r="B8" i="71"/>
  <c r="I3" i="84"/>
  <c r="S65" i="9" l="1"/>
  <c r="I9" i="84"/>
  <c r="D7" i="79"/>
  <c r="D7" i="67"/>
  <c r="D15" i="84"/>
  <c r="F27" i="84" l="1"/>
  <c r="F26" i="84"/>
  <c r="I11" i="84"/>
  <c r="F11" i="84"/>
  <c r="F5" i="84"/>
  <c r="F6" i="84"/>
  <c r="D7" i="80" l="1"/>
  <c r="B8" i="70"/>
  <c r="B4" i="77" l="1"/>
  <c r="H4" i="83"/>
  <c r="J4" i="83" s="1"/>
  <c r="H31" i="79" s="1"/>
  <c r="H41" i="79" s="1"/>
  <c r="H50" i="79" s="1"/>
  <c r="H8" i="83"/>
  <c r="J8" i="83" s="1"/>
  <c r="H31" i="67" s="1"/>
  <c r="H41" i="67" s="1"/>
  <c r="H44" i="67" s="1"/>
  <c r="G36" i="83"/>
  <c r="E27" i="79"/>
  <c r="E31" i="79"/>
  <c r="E41" i="79" s="1"/>
  <c r="F27" i="79"/>
  <c r="F31" i="79"/>
  <c r="F41" i="79" s="1"/>
  <c r="F50" i="79" s="1"/>
  <c r="G27" i="79"/>
  <c r="G31" i="79"/>
  <c r="G41" i="79" s="1"/>
  <c r="E27" i="80"/>
  <c r="E31" i="80"/>
  <c r="E41" i="80" s="1"/>
  <c r="F27" i="80"/>
  <c r="F31" i="80"/>
  <c r="F41" i="80" s="1"/>
  <c r="G27" i="80"/>
  <c r="G31" i="80"/>
  <c r="G41" i="80" s="1"/>
  <c r="G44" i="80" s="1"/>
  <c r="E27" i="67"/>
  <c r="E31" i="67" s="1"/>
  <c r="E41" i="67" s="1"/>
  <c r="F27" i="67"/>
  <c r="F31" i="67"/>
  <c r="F41" i="67" s="1"/>
  <c r="G27" i="67"/>
  <c r="G31" i="67"/>
  <c r="G41" i="67" s="1"/>
  <c r="F9" i="74"/>
  <c r="F7" i="74" s="1"/>
  <c r="F5" i="74" s="1"/>
  <c r="F14" i="62" s="1"/>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J6" i="83" s="1"/>
  <c r="H31" i="80" s="1"/>
  <c r="H41" i="80" s="1"/>
  <c r="H50" i="80" s="1"/>
  <c r="C52" i="82"/>
  <c r="E26" i="44"/>
  <c r="I26" i="44" s="1"/>
  <c r="E27" i="44"/>
  <c r="G27" i="44" s="1"/>
  <c r="E28" i="44"/>
  <c r="E29" i="44"/>
  <c r="G29" i="44" s="1"/>
  <c r="H30" i="44"/>
  <c r="H31" i="44"/>
  <c r="E31" i="44"/>
  <c r="H32" i="44"/>
  <c r="E36" i="44"/>
  <c r="I36" i="44" s="1"/>
  <c r="E38" i="44"/>
  <c r="I38" i="44" s="1"/>
  <c r="E39" i="44"/>
  <c r="G39" i="44" s="1"/>
  <c r="E41" i="44"/>
  <c r="G41" i="44" s="1"/>
  <c r="I41" i="44"/>
  <c r="E42" i="44"/>
  <c r="G42" i="44" s="1"/>
  <c r="E43" i="44"/>
  <c r="I43" i="44"/>
  <c r="E9" i="44"/>
  <c r="I9" i="44" s="1"/>
  <c r="H10" i="44"/>
  <c r="E10" i="44"/>
  <c r="H11" i="44"/>
  <c r="E11" i="44"/>
  <c r="E12" i="44"/>
  <c r="E14" i="44"/>
  <c r="E16" i="44"/>
  <c r="E18" i="44"/>
  <c r="E19" i="44"/>
  <c r="I20" i="44"/>
  <c r="H21" i="44"/>
  <c r="E21" i="44"/>
  <c r="H22" i="44"/>
  <c r="E22" i="44"/>
  <c r="G22" i="44" s="1"/>
  <c r="I22" i="44"/>
  <c r="I38" i="83"/>
  <c r="G38" i="83"/>
  <c r="H38" i="83" s="1"/>
  <c r="G43" i="44"/>
  <c r="G20" i="44"/>
  <c r="I36" i="83"/>
  <c r="C38" i="83"/>
  <c r="B38" i="83"/>
  <c r="B36" i="83"/>
  <c r="C36" i="83"/>
  <c r="AA1" i="82"/>
  <c r="AA3" i="82" s="1"/>
  <c r="I30" i="83"/>
  <c r="G32" i="83"/>
  <c r="I32" i="83"/>
  <c r="C46" i="82"/>
  <c r="I24" i="83"/>
  <c r="H24" i="83"/>
  <c r="G26" i="83"/>
  <c r="I26" i="83"/>
  <c r="I22" i="83"/>
  <c r="G22" i="83"/>
  <c r="H22" i="83" s="1"/>
  <c r="I20" i="83"/>
  <c r="G20" i="83"/>
  <c r="H20" i="83" s="1"/>
  <c r="I18" i="83"/>
  <c r="G18" i="83"/>
  <c r="H18" i="83" s="1"/>
  <c r="I14" i="83"/>
  <c r="I12" i="83"/>
  <c r="B30" i="83"/>
  <c r="B24" i="83"/>
  <c r="B22" i="83"/>
  <c r="B20" i="83"/>
  <c r="B18" i="83"/>
  <c r="B12" i="83"/>
  <c r="C30" i="83"/>
  <c r="C22" i="83"/>
  <c r="C20" i="83"/>
  <c r="C23" i="82"/>
  <c r="D23" i="82" s="1"/>
  <c r="C24" i="83"/>
  <c r="C18" i="83"/>
  <c r="C12" i="83"/>
  <c r="H12" i="83"/>
  <c r="AA4" i="82"/>
  <c r="E10" i="56"/>
  <c r="E7" i="56" s="1"/>
  <c r="E5" i="56" s="1"/>
  <c r="D12" i="62" s="1"/>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F7" i="16"/>
  <c r="GG6" i="16"/>
  <c r="GF6" i="16"/>
  <c r="GC2" i="16"/>
  <c r="B8" i="56"/>
  <c r="C10" i="62"/>
  <c r="C8" i="62"/>
  <c r="C12" i="62"/>
  <c r="C43" i="44"/>
  <c r="C42" i="44"/>
  <c r="C29" i="44"/>
  <c r="C28" i="44"/>
  <c r="C22" i="44"/>
  <c r="C21" i="44"/>
  <c r="E15" i="44"/>
  <c r="I29" i="44" l="1"/>
  <c r="I27" i="44"/>
  <c r="L38" i="82"/>
  <c r="E7" i="70"/>
  <c r="E5" i="70" s="1"/>
  <c r="J38" i="82"/>
  <c r="D10" i="62"/>
  <c r="I42" i="44"/>
  <c r="G26" i="44"/>
  <c r="H14" i="83"/>
  <c r="H26" i="83"/>
  <c r="H30" i="83"/>
  <c r="E7" i="71"/>
  <c r="E5" i="71" s="1"/>
  <c r="I39" i="44"/>
  <c r="G38" i="44"/>
  <c r="G36" i="44"/>
  <c r="I18" i="44"/>
  <c r="G18" i="44"/>
  <c r="E44" i="80"/>
  <c r="E50" i="80"/>
  <c r="F44" i="80"/>
  <c r="F50" i="80"/>
  <c r="G50" i="80"/>
  <c r="F44" i="67"/>
  <c r="F50" i="67"/>
  <c r="G44" i="67"/>
  <c r="G50" i="67"/>
  <c r="H44" i="79"/>
  <c r="H50" i="67"/>
  <c r="E44" i="67"/>
  <c r="E50" i="67"/>
  <c r="H44" i="80"/>
  <c r="G44" i="79"/>
  <c r="G50" i="79"/>
  <c r="E50" i="79"/>
  <c r="D50" i="79" s="1"/>
  <c r="E44" i="79"/>
  <c r="F44" i="79"/>
  <c r="AA2" i="82"/>
  <c r="G31" i="44"/>
  <c r="I31" i="44"/>
  <c r="I28" i="44"/>
  <c r="G28" i="44"/>
  <c r="I21" i="44"/>
  <c r="G21" i="44"/>
  <c r="G19" i="44"/>
  <c r="I19" i="44"/>
  <c r="G14" i="44"/>
  <c r="I14" i="44"/>
  <c r="G12" i="44"/>
  <c r="I12" i="44"/>
  <c r="G11" i="44"/>
  <c r="I11" i="44"/>
  <c r="G10" i="44"/>
  <c r="I10" i="44"/>
  <c r="I16" i="44"/>
  <c r="G16" i="44"/>
  <c r="I15" i="44"/>
  <c r="G15" i="44"/>
  <c r="G9" i="44"/>
  <c r="H32" i="83"/>
  <c r="H36" i="83"/>
  <c r="D50" i="80" l="1"/>
  <c r="E45" i="79"/>
  <c r="E8" i="62" s="1"/>
  <c r="H38" i="82"/>
  <c r="D8" i="62"/>
  <c r="C38" i="82" s="1"/>
  <c r="E45" i="80"/>
  <c r="E10" i="62" s="1"/>
  <c r="D50" i="67"/>
  <c r="E45" i="67"/>
  <c r="E12" i="62" s="1"/>
  <c r="S12" i="9" l="1"/>
  <c r="I23" i="9"/>
  <c r="I51" i="9"/>
  <c r="F51" i="9" s="1"/>
  <c r="I44" i="9"/>
  <c r="F44" i="9" s="1"/>
  <c r="I59" i="9"/>
  <c r="I48" i="9"/>
  <c r="F48" i="9" s="1"/>
  <c r="I45" i="9"/>
  <c r="F45" i="9" s="1"/>
  <c r="E34" i="44" s="1"/>
  <c r="I43" i="9"/>
  <c r="I33" i="9"/>
  <c r="I46" i="9"/>
  <c r="F46" i="9" s="1"/>
  <c r="E35" i="44" s="1"/>
  <c r="F12" i="62"/>
  <c r="F10" i="62"/>
  <c r="E40" i="44"/>
  <c r="E37" i="44"/>
  <c r="F8" i="84"/>
  <c r="F8" i="62"/>
  <c r="F43" i="9" l="1"/>
  <c r="E32" i="44" s="1"/>
  <c r="I55" i="9"/>
  <c r="F16" i="62"/>
  <c r="F33" i="9"/>
  <c r="I34" i="9"/>
  <c r="F34" i="9" s="1"/>
  <c r="S34" i="9" s="1"/>
  <c r="F59" i="9"/>
  <c r="I62" i="9"/>
  <c r="F23" i="9"/>
  <c r="I29" i="9"/>
  <c r="F29" i="9" s="1"/>
  <c r="S29" i="9" s="1"/>
  <c r="I35" i="44"/>
  <c r="G35" i="44"/>
  <c r="G32" i="44"/>
  <c r="I32" i="44"/>
  <c r="C26" i="82"/>
  <c r="E20" i="83" s="1"/>
  <c r="J20" i="83" s="1"/>
  <c r="I34" i="44"/>
  <c r="G34" i="44"/>
  <c r="I40" i="44"/>
  <c r="G40" i="44"/>
  <c r="I37" i="44"/>
  <c r="G37" i="44"/>
  <c r="E33" i="44"/>
  <c r="F14" i="84"/>
  <c r="G14" i="84" s="1"/>
  <c r="F18" i="62"/>
  <c r="F20" i="62" s="1"/>
  <c r="E17" i="44"/>
  <c r="I71" i="9" l="1"/>
  <c r="F71" i="9" s="1"/>
  <c r="F62" i="9"/>
  <c r="F55" i="9"/>
  <c r="S55" i="9" s="1"/>
  <c r="I70" i="9"/>
  <c r="D26" i="82"/>
  <c r="M20" i="83"/>
  <c r="I33" i="44"/>
  <c r="G33" i="44"/>
  <c r="C28" i="82"/>
  <c r="F15" i="84"/>
  <c r="G17" i="44"/>
  <c r="I17" i="44"/>
  <c r="G15" i="84"/>
  <c r="F19" i="84"/>
  <c r="G19" i="84" s="1"/>
  <c r="F70" i="9" l="1"/>
  <c r="S70" i="9" s="1"/>
  <c r="I72" i="9"/>
  <c r="F72" i="9" s="1"/>
  <c r="S72" i="9" s="1"/>
  <c r="E33" i="9"/>
  <c r="E32" i="9"/>
  <c r="F21" i="84"/>
  <c r="G21" i="84" s="1"/>
  <c r="E24" i="83"/>
  <c r="J24" i="83" s="1"/>
  <c r="E26" i="83" s="1"/>
  <c r="J26" i="83" s="1"/>
  <c r="E34" i="9" l="1"/>
  <c r="I21" i="84"/>
  <c r="J21" i="84" s="1"/>
  <c r="H21" i="84" l="1"/>
  <c r="E61" i="9"/>
  <c r="E59" i="9"/>
  <c r="E62" i="9" s="1"/>
  <c r="E71" i="9" s="1"/>
  <c r="C24" i="82"/>
  <c r="E13" i="44"/>
  <c r="E30" i="44"/>
  <c r="C29" i="82"/>
  <c r="E30" i="83" s="1"/>
  <c r="J30" i="83" s="1"/>
  <c r="E32" i="83" s="1"/>
  <c r="J32" i="83" s="1"/>
  <c r="I30" i="44" l="1"/>
  <c r="I44" i="44" s="1"/>
  <c r="G30" i="44"/>
  <c r="G44" i="44" s="1"/>
  <c r="G13" i="44"/>
  <c r="G23" i="44" s="1"/>
  <c r="I13" i="44"/>
  <c r="I23" i="44" s="1"/>
  <c r="E12" i="83"/>
  <c r="J12" i="83" s="1"/>
  <c r="C27" i="82"/>
  <c r="E22" i="83" s="1"/>
  <c r="J22" i="83" s="1"/>
  <c r="C25" i="82"/>
  <c r="I48" i="44" l="1"/>
  <c r="C35" i="82" s="1"/>
  <c r="E65" i="9"/>
  <c r="D27" i="82"/>
  <c r="M22" i="83"/>
  <c r="G48" i="44"/>
  <c r="C33" i="82" s="1"/>
  <c r="F13" i="84" s="1"/>
  <c r="E14" i="83"/>
  <c r="J14" i="83" s="1"/>
  <c r="E18" i="83"/>
  <c r="J18" i="83" s="1"/>
  <c r="F20" i="84"/>
  <c r="G20" i="84" s="1"/>
  <c r="C30" i="82"/>
  <c r="F23" i="84" s="1"/>
  <c r="G23" i="84" s="1"/>
  <c r="C34" i="82"/>
  <c r="E38" i="83"/>
  <c r="J38" i="83" s="1"/>
  <c r="E36" i="83" l="1"/>
  <c r="J36" i="83" s="1"/>
  <c r="E11" i="9"/>
  <c r="E12" i="9" s="1"/>
  <c r="E69" i="9" s="1"/>
  <c r="E42" i="9"/>
  <c r="E38" i="9"/>
  <c r="E53" i="9"/>
  <c r="E37" i="9"/>
  <c r="E44" i="9"/>
  <c r="E52" i="9"/>
  <c r="E39" i="9"/>
  <c r="E51" i="9"/>
  <c r="E45" i="9"/>
  <c r="E50" i="9"/>
  <c r="E49" i="9"/>
  <c r="E43" i="9"/>
  <c r="E46" i="9"/>
  <c r="E54" i="9"/>
  <c r="E47" i="9"/>
  <c r="E40" i="9"/>
  <c r="E48" i="9"/>
  <c r="E41" i="9"/>
  <c r="D35" i="82"/>
  <c r="M38" i="83"/>
  <c r="D25" i="82"/>
  <c r="I20" i="84" s="1"/>
  <c r="H20" i="84" s="1"/>
  <c r="M18" i="83"/>
  <c r="D33" i="82"/>
  <c r="I13" i="84" s="1"/>
  <c r="H13" i="84" s="1"/>
  <c r="M36" i="83"/>
  <c r="D34" i="82"/>
  <c r="E26" i="9" l="1"/>
  <c r="E25" i="9"/>
  <c r="E27" i="9"/>
  <c r="E18" i="9"/>
  <c r="E16" i="9"/>
  <c r="E28" i="9"/>
  <c r="E21" i="9"/>
  <c r="E15" i="9"/>
  <c r="E17" i="9"/>
  <c r="E24" i="9"/>
  <c r="E22" i="9"/>
  <c r="E23" i="9"/>
  <c r="E20" i="9"/>
  <c r="E19" i="9"/>
  <c r="E55" i="9"/>
  <c r="I19" i="84"/>
  <c r="D30" i="82"/>
  <c r="E29" i="9" l="1"/>
  <c r="E70" i="9" s="1"/>
  <c r="E72" i="9" s="1"/>
  <c r="A9" i="67"/>
  <c r="I23" i="84"/>
  <c r="H19" i="84"/>
  <c r="J19" i="84"/>
  <c r="J20" i="84"/>
  <c r="H23" i="84" l="1"/>
  <c r="J23" i="84"/>
</calcChain>
</file>

<file path=xl/comments1.xml><?xml version="1.0" encoding="utf-8"?>
<comments xmlns="http://schemas.openxmlformats.org/spreadsheetml/2006/main">
  <authors>
    <author>Ron Semel</author>
    <author>VITA Program</author>
  </authors>
  <commentList>
    <comment ref="AA1" authorId="0" shapeId="0">
      <text>
        <r>
          <rPr>
            <b/>
            <sz val="9"/>
            <color indexed="81"/>
            <rFont val="Tahoma"/>
            <family val="2"/>
          </rPr>
          <t>Do not delete.  This number is used for the escalation calculation.</t>
        </r>
      </text>
    </comment>
    <comment ref="AA2" authorId="0" shapeId="0">
      <text>
        <r>
          <rPr>
            <b/>
            <sz val="9"/>
            <color indexed="81"/>
            <rFont val="Tahoma"/>
            <family val="2"/>
          </rPr>
          <t>Do not delete.  This number is used for the escalation calculation.</t>
        </r>
      </text>
    </comment>
    <comment ref="AA3" authorId="0" shapeId="0">
      <text>
        <r>
          <rPr>
            <b/>
            <sz val="9"/>
            <color indexed="81"/>
            <rFont val="Tahoma"/>
            <family val="2"/>
          </rPr>
          <t>Do not delete.  This number is used for the escalation calculation.</t>
        </r>
      </text>
    </comment>
    <comment ref="AA4" authorId="0" shapeId="0">
      <text>
        <r>
          <rPr>
            <b/>
            <sz val="9"/>
            <color indexed="81"/>
            <rFont val="Tahoma"/>
            <family val="2"/>
          </rPr>
          <t>Do not delete.  This number is used for the escalation calculation.</t>
        </r>
      </text>
    </comment>
    <comment ref="C10" authorId="1" shapeId="0">
      <text>
        <r>
          <rPr>
            <b/>
            <sz val="9"/>
            <color indexed="81"/>
            <rFont val="Tahoma"/>
            <family val="2"/>
          </rPr>
          <t>Pull-down list</t>
        </r>
      </text>
    </comment>
    <comment ref="C12" authorId="1" shapeId="0">
      <text>
        <r>
          <rPr>
            <b/>
            <sz val="9"/>
            <color indexed="81"/>
            <rFont val="Tahoma"/>
            <family val="2"/>
          </rPr>
          <t>Pull-down list</t>
        </r>
      </text>
    </comment>
    <comment ref="C17" authorId="1" shapeId="0">
      <text>
        <r>
          <rPr>
            <b/>
            <sz val="9"/>
            <color indexed="81"/>
            <rFont val="Tahoma"/>
            <family val="2"/>
          </rPr>
          <t>Pull-down list</t>
        </r>
      </text>
    </comment>
    <comment ref="C18" authorId="1" shapeId="0">
      <text>
        <r>
          <rPr>
            <b/>
            <sz val="9"/>
            <color indexed="81"/>
            <rFont val="Tahoma"/>
            <family val="2"/>
          </rPr>
          <t>Pull-down list</t>
        </r>
      </text>
    </comment>
    <comment ref="C19" authorId="1" shapeId="0">
      <text>
        <r>
          <rPr>
            <b/>
            <sz val="9"/>
            <color indexed="81"/>
            <rFont val="Tahoma"/>
            <family val="2"/>
          </rPr>
          <t>Pull-down list</t>
        </r>
      </text>
    </comment>
    <comment ref="B53" authorId="1" shapeId="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authors>
    <author>VITA Program</author>
    <author>Semel, Ronald (DGS)</author>
  </authors>
  <commentList>
    <comment ref="H11" authorId="0" shapeId="0">
      <text>
        <r>
          <rPr>
            <sz val="12"/>
            <color indexed="81"/>
            <rFont val="Tahoma"/>
            <family val="2"/>
          </rPr>
          <t>Point to Blender Total (F20) if project has only one phase.  Point to Building Type 1, 2, 3 or Estimate on Blender tab (total F column) for multiple phases.</t>
        </r>
      </text>
    </comment>
    <comment ref="I11" authorId="0" shapeId="0">
      <text>
        <r>
          <rPr>
            <sz val="12"/>
            <color indexed="81"/>
            <rFont val="Tahoma"/>
            <family val="2"/>
          </rPr>
          <t>Point to Building Type 1, 2, 3 or Estimate on Blender tab (total F column) for multiple phases.</t>
        </r>
      </text>
    </comment>
    <comment ref="J11" authorId="0" shapeId="0">
      <text>
        <r>
          <rPr>
            <sz val="12"/>
            <color indexed="81"/>
            <rFont val="Tahoma"/>
            <family val="2"/>
          </rPr>
          <t>Point to Building Type 1, 2, 3 or Estimate on Blender tab (total F column) for multiple phases.</t>
        </r>
      </text>
    </comment>
    <comment ref="K11" authorId="0" shapeId="0">
      <text>
        <r>
          <rPr>
            <sz val="12"/>
            <color indexed="81"/>
            <rFont val="Tahoma"/>
            <family val="2"/>
          </rPr>
          <t>Point to Building Type 1, 2, 3 or Estimate on Blender tab (total F column) for multiple phases.</t>
        </r>
      </text>
    </comment>
    <comment ref="L11" authorId="0" shapeId="0">
      <text>
        <r>
          <rPr>
            <sz val="12"/>
            <color indexed="81"/>
            <rFont val="Tahoma"/>
            <family val="2"/>
          </rPr>
          <t>Point to Building Type 1, 2, 3 or Estimate on Blender tab (total F column) for multiple phases.</t>
        </r>
      </text>
    </comment>
    <comment ref="M11" authorId="0" shapeId="0">
      <text>
        <r>
          <rPr>
            <sz val="12"/>
            <color indexed="81"/>
            <rFont val="Tahoma"/>
            <family val="2"/>
          </rPr>
          <t>Point to Building Type 1, 2, 3 or Estimate on Blender tab (total F column) for multiple phases.</t>
        </r>
      </text>
    </comment>
    <comment ref="N11" authorId="0" shapeId="0">
      <text>
        <r>
          <rPr>
            <sz val="12"/>
            <color indexed="81"/>
            <rFont val="Tahoma"/>
            <family val="2"/>
          </rPr>
          <t>Point to Building Type 1, 2, 3 or Estimate on Blender tab (total F column) for multiple phases.</t>
        </r>
      </text>
    </comment>
    <comment ref="O11" authorId="0" shapeId="0">
      <text>
        <r>
          <rPr>
            <sz val="12"/>
            <color indexed="81"/>
            <rFont val="Tahoma"/>
            <family val="2"/>
          </rPr>
          <t>Point to Building Type 1, 2, 3 or Estimate on Blender tab (total F column) for multiple phases.</t>
        </r>
      </text>
    </comment>
    <comment ref="P11" authorId="0" shapeId="0">
      <text>
        <r>
          <rPr>
            <sz val="12"/>
            <color indexed="81"/>
            <rFont val="Tahoma"/>
            <family val="2"/>
          </rPr>
          <t>Point to Building Type 1, 2, 3 or Estimate on Blender tab (total F column) for multiple phases.</t>
        </r>
      </text>
    </comment>
    <comment ref="Q11" authorId="0" shapeId="0">
      <text>
        <r>
          <rPr>
            <sz val="12"/>
            <color indexed="81"/>
            <rFont val="Tahoma"/>
            <family val="2"/>
          </rPr>
          <t>Point to Building Type 1, 2, 3 or Estimate on Blender tab (total F column) for multiple phases.</t>
        </r>
      </text>
    </comment>
    <comment ref="H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authors>
    <author>RSS</author>
  </authors>
  <commentList>
    <comment ref="D18" authorId="0" shapeId="0">
      <text>
        <r>
          <rPr>
            <sz val="14"/>
            <color indexed="81"/>
            <rFont val="Tahoma"/>
            <family val="2"/>
          </rPr>
          <t>Enter Percentage Allowance if prevailing wage applies.  Final amount will be reconciled at award. 
Allowance amounts recommended are as follows:
Construction costs above $80M: 3%
Construction costs between $30M and $80M: 5%
Construction costs between $10M and $30M: 10%
Construction costs below $10M: 15%</t>
        </r>
      </text>
    </comment>
  </commentList>
</comments>
</file>

<file path=xl/comments4.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authors>
    <author>VITA Program</author>
    <author>eib34293</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authors>
    <author>eib34293</author>
  </authors>
  <commentList>
    <comment ref="F6" authorId="0" shapeId="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<sst xmlns="http://schemas.openxmlformats.org/spreadsheetml/2006/main" count="2090" uniqueCount="1331">
  <si>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</si>
  <si>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</si>
  <si>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</si>
  <si>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</si>
  <si>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</si>
  <si>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</si>
  <si>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</si>
  <si>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</si>
  <si>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</si>
  <si>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</si>
  <si>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</si>
  <si>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</si>
  <si>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</si>
  <si>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</si>
  <si>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</si>
  <si>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</si>
  <si>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</si>
  <si>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</si>
  <si>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</si>
  <si>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</si>
  <si>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</si>
  <si>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</si>
  <si>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</si>
  <si>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</si>
  <si>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</si>
  <si>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</si>
  <si>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</si>
  <si>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</si>
  <si>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</si>
  <si>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</si>
  <si>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</si>
  <si>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</si>
  <si>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</si>
  <si>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</si>
  <si>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</si>
  <si>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</si>
  <si>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</si>
  <si>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</si>
  <si>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</si>
  <si>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</si>
  <si>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</si>
  <si>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</si>
  <si>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</si>
  <si>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</si>
  <si>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</si>
  <si>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</si>
  <si>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</si>
  <si>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</si>
  <si>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</si>
  <si>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</si>
  <si>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</si>
  <si>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</si>
  <si>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</si>
  <si>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</si>
  <si>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</si>
  <si>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</si>
  <si>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</si>
  <si>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</si>
  <si>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</si>
  <si>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</si>
  <si>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</si>
  <si>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</si>
  <si>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</si>
  <si>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</si>
  <si>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</si>
  <si>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</si>
  <si>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</si>
  <si>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</si>
  <si>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</si>
  <si>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</si>
  <si>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</si>
  <si>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</si>
  <si>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</si>
  <si>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</si>
  <si>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</si>
  <si>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</si>
  <si>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</si>
  <si>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</si>
  <si>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</si>
  <si>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</si>
  <si>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</si>
  <si>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</si>
  <si>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</si>
  <si>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</si>
  <si>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</si>
  <si>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</si>
  <si>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</si>
  <si>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</si>
  <si>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</si>
  <si>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</si>
  <si>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</si>
  <si>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</si>
  <si>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</si>
  <si>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</si>
  <si>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</si>
  <si>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</si>
  <si>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</si>
  <si>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</si>
  <si>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</si>
  <si>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</si>
  <si>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</si>
  <si>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</si>
  <si>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</si>
  <si>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</si>
  <si>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</si>
  <si>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</si>
  <si>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</si>
  <si>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</si>
  <si>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</si>
  <si>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</si>
  <si>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</si>
  <si>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</si>
  <si>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</si>
  <si>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</si>
  <si>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</si>
  <si>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</si>
  <si>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</si>
  <si>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</si>
  <si>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</si>
  <si>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</si>
  <si>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</si>
  <si>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</si>
  <si>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</si>
  <si>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</si>
  <si>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</si>
  <si>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</si>
  <si>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</si>
  <si>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</si>
  <si>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</si>
  <si>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</si>
  <si>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</si>
  <si>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</si>
  <si>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</si>
  <si>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</si>
  <si>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</si>
  <si>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</si>
  <si>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</si>
  <si>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</si>
  <si>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</si>
  <si>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</si>
  <si>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</si>
  <si>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</si>
  <si>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</si>
  <si>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</si>
  <si>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</si>
  <si>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</si>
  <si>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</si>
  <si>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</si>
  <si>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</si>
  <si>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</si>
  <si>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</si>
  <si>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</si>
  <si>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</si>
  <si>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</si>
  <si>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</si>
  <si>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</si>
  <si>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</si>
  <si>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</si>
  <si>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</si>
  <si>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</si>
  <si>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</si>
  <si>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</si>
  <si>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</si>
  <si>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</si>
  <si>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</si>
  <si>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</si>
  <si>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</si>
  <si>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</si>
  <si>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</si>
  <si>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</si>
  <si>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</si>
  <si>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</si>
  <si>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</si>
  <si>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</si>
  <si>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</si>
  <si>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</si>
  <si>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</si>
  <si>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</si>
  <si>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</si>
  <si>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</si>
  <si>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</si>
  <si>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</si>
  <si>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</si>
  <si>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</si>
  <si>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</si>
  <si>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</si>
  <si>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</si>
  <si>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</si>
  <si>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</si>
  <si>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</si>
  <si>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</si>
  <si>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</si>
  <si>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</si>
  <si>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</si>
  <si>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</si>
  <si>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</si>
  <si>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</si>
  <si>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</si>
  <si>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</si>
  <si>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</si>
  <si>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</si>
  <si>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</si>
  <si>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</si>
  <si>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</si>
  <si>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</si>
  <si>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</si>
  <si>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</si>
  <si>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</si>
  <si>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</si>
  <si>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</si>
  <si>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</si>
  <si>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</si>
  <si>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</si>
  <si>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</si>
  <si>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</si>
  <si>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</si>
  <si>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</si>
  <si>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</si>
  <si>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</si>
  <si>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</si>
  <si>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</si>
  <si>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</si>
  <si>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</si>
  <si>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</si>
  <si>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</si>
  <si>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</si>
  <si>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</si>
  <si>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</si>
  <si>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</si>
  <si>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</si>
  <si>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</si>
  <si>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</si>
  <si>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</si>
  <si>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</si>
  <si>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</si>
  <si>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</si>
  <si>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</si>
  <si>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</si>
  <si>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</si>
  <si>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</si>
  <si>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</si>
  <si>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</si>
  <si>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</si>
  <si>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</si>
  <si>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</si>
  <si>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</si>
  <si>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</si>
  <si>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</si>
  <si>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</si>
  <si>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</si>
  <si>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</si>
  <si>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</si>
  <si>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</si>
  <si>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</si>
  <si>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</si>
  <si>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</si>
  <si>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</si>
  <si>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</si>
  <si>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</si>
  <si>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</si>
  <si>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</si>
  <si>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</si>
  <si>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</si>
  <si>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</si>
  <si>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</si>
  <si>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</si>
  <si>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</si>
  <si>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</si>
  <si>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</si>
  <si>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</si>
  <si>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</si>
  <si>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</si>
  <si>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</si>
  <si>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</si>
  <si>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</si>
  <si>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</si>
  <si>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</si>
  <si>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</si>
  <si>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</si>
  <si>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</si>
  <si>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</si>
  <si>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</si>
  <si>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</si>
  <si>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</si>
  <si>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</si>
  <si>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</si>
  <si>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</si>
  <si>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</si>
  <si>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</si>
  <si>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</si>
  <si>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</si>
  <si>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</si>
  <si>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</si>
  <si>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</si>
  <si>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</si>
  <si>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</si>
  <si>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</si>
  <si>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</si>
  <si>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</si>
  <si>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</si>
  <si>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</si>
  <si>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</si>
  <si>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</si>
  <si>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</si>
  <si>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</si>
  <si>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</si>
  <si>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</si>
  <si>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</si>
  <si>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</si>
  <si>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</si>
  <si>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</si>
  <si>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</si>
  <si>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</si>
  <si>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</si>
  <si>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</si>
  <si>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</si>
  <si>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</si>
  <si>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</si>
  <si>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</si>
  <si>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</si>
  <si>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</si>
  <si>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</si>
  <si>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</si>
  <si>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</si>
  <si>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</si>
  <si>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</si>
  <si>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</si>
  <si>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</si>
  <si>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</si>
  <si>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</si>
  <si>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</si>
  <si>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</si>
  <si>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</si>
  <si>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</si>
  <si>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</si>
  <si>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</si>
  <si>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</si>
  <si>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</si>
  <si>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</si>
  <si>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</si>
  <si>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</si>
  <si>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</si>
  <si>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</si>
  <si>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</si>
  <si>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</si>
  <si>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</si>
  <si>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</si>
  <si>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</si>
  <si>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</si>
  <si>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</si>
  <si>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</si>
  <si>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</si>
  <si>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</si>
  <si>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</si>
  <si>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</si>
  <si>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</si>
  <si>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</si>
  <si>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</si>
  <si>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</si>
  <si>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</si>
  <si>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</si>
  <si>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</si>
  <si>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</si>
  <si>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</si>
  <si>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</si>
  <si>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</si>
  <si>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</si>
  <si>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</si>
  <si>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</si>
  <si>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</si>
  <si>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</si>
  <si>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</si>
  <si>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</si>
  <si>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</si>
  <si>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</si>
  <si>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</si>
  <si>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</si>
  <si>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</si>
  <si>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</si>
  <si>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</si>
  <si>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</si>
  <si>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</si>
  <si>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</si>
  <si>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</si>
  <si>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</si>
  <si>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</si>
  <si>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</si>
  <si>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</si>
  <si>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</si>
  <si>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</si>
  <si>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</si>
  <si>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</si>
  <si>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</si>
  <si>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</si>
  <si>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</si>
  <si>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</si>
  <si>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</si>
  <si>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</si>
  <si>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</si>
  <si>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</si>
  <si>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</si>
  <si>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</si>
  <si>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</si>
  <si>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</si>
  <si>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</si>
  <si>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</si>
  <si>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</si>
  <si>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</si>
  <si>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</si>
  <si>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</si>
  <si>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</si>
  <si>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</si>
  <si>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</si>
  <si>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</si>
  <si>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</si>
  <si>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</si>
  <si>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</si>
  <si>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</si>
  <si>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</si>
  <si>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</si>
  <si>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</si>
  <si>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</si>
  <si>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</si>
  <si>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</si>
  <si>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</si>
  <si>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</si>
  <si>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</si>
  <si>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</si>
  <si>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</si>
  <si>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</si>
  <si>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</si>
  <si>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</si>
  <si>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</si>
  <si>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</si>
  <si>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</si>
  <si>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</si>
  <si>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</si>
  <si>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</si>
  <si>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</si>
  <si>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</si>
  <si>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</si>
  <si>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</si>
  <si>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</si>
  <si>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</si>
  <si>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</si>
  <si>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</si>
  <si>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</si>
  <si>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</si>
  <si>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</si>
  <si>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</si>
  <si>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</si>
  <si>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</si>
  <si>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</si>
  <si>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</si>
  <si>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</si>
  <si>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</si>
  <si>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</si>
  <si>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</si>
  <si>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</si>
  <si>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</si>
  <si>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</si>
  <si>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</si>
  <si>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</si>
  <si>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</si>
  <si>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</si>
  <si>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</si>
  <si>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</si>
  <si>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</si>
  <si>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</si>
  <si>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</si>
  <si>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</si>
  <si>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</si>
  <si>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</si>
  <si>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</si>
  <si>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</si>
  <si>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</si>
  <si>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</si>
  <si>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</si>
  <si>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</si>
  <si>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</si>
  <si>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</si>
  <si>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</si>
  <si>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</si>
  <si>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</si>
  <si>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</si>
  <si>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</si>
  <si>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</si>
  <si>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</si>
  <si>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</si>
  <si>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</si>
  <si>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</si>
  <si>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</si>
  <si>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</si>
  <si>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</si>
  <si>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</si>
  <si>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</si>
  <si>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</si>
  <si>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</si>
  <si>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</si>
  <si>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</si>
  <si>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</si>
  <si>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</si>
  <si>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</si>
  <si>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</si>
  <si>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</si>
  <si>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</si>
  <si>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</si>
  <si>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</si>
  <si>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</si>
  <si>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</si>
  <si>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</si>
  <si>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</si>
  <si>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</si>
  <si>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</si>
  <si>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</si>
  <si>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</si>
  <si>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</si>
  <si>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</si>
  <si>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</si>
  <si>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</si>
  <si>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</si>
  <si>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</si>
  <si>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</si>
  <si>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</si>
  <si>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</si>
  <si>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</si>
  <si>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</si>
  <si>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</si>
  <si>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</si>
  <si>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</si>
  <si>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</si>
  <si>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</si>
  <si>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</si>
  <si>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</si>
  <si>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</si>
  <si>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</si>
  <si>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</si>
  <si>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</si>
  <si>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</si>
  <si>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</si>
  <si>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</si>
  <si>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</si>
  <si>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</si>
  <si>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</si>
  <si>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</si>
  <si>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</si>
  <si>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</si>
  <si>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</si>
  <si>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</si>
  <si>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</si>
  <si>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</si>
  <si>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</si>
  <si>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</si>
  <si>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</si>
  <si>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</si>
  <si>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</si>
  <si>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</si>
  <si>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</si>
  <si>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</si>
  <si>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</si>
  <si>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</si>
  <si>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</si>
  <si>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</si>
  <si>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</si>
  <si>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</si>
  <si>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</si>
  <si>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</si>
  <si>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</si>
  <si>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</si>
  <si>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</si>
  <si>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</si>
  <si>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</si>
  <si>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</si>
  <si>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</si>
  <si>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</si>
  <si>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</si>
  <si>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</si>
  <si>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</si>
  <si>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</si>
  <si>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</si>
  <si>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</si>
  <si>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</si>
  <si>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</si>
  <si>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</si>
  <si>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</si>
  <si>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</si>
  <si>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</si>
  <si>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</si>
  <si>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</si>
  <si>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</si>
  <si>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</si>
  <si>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</si>
  <si>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</si>
  <si>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</si>
  <si>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</si>
  <si>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</si>
  <si>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</si>
  <si>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</si>
  <si>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</si>
  <si>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</si>
  <si>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</si>
  <si>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</si>
  <si>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</si>
  <si>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</si>
  <si>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</si>
  <si>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</si>
  <si>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</si>
  <si>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</si>
  <si>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</si>
  <si>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</si>
  <si>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</si>
  <si>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</si>
  <si>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</si>
  <si>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</si>
  <si>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</si>
  <si>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</si>
  <si>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</si>
  <si>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</si>
  <si>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</si>
  <si>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</si>
  <si>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</si>
  <si>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</si>
  <si>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</si>
  <si>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</si>
  <si>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</si>
  <si>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</si>
  <si>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</si>
  <si>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</si>
  <si>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</si>
  <si>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</si>
  <si>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</si>
  <si>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</si>
  <si>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</si>
  <si>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</si>
  <si>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</si>
  <si>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</si>
  <si>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</si>
  <si>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</si>
  <si>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</si>
  <si>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</si>
  <si>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</si>
  <si>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</si>
  <si>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</si>
  <si>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</si>
  <si>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</si>
  <si>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</si>
  <si>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</si>
  <si>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</si>
  <si>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</si>
  <si>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</si>
  <si>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</si>
  <si>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</si>
  <si>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</si>
  <si>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</si>
  <si>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</si>
  <si>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</si>
  <si>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</si>
  <si>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</si>
  <si>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</si>
  <si>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</si>
  <si>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</si>
  <si>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</si>
  <si>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</si>
  <si>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</si>
  <si>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</si>
  <si>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</si>
  <si>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</si>
  <si>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</si>
  <si>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</si>
  <si>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</si>
  <si>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</si>
  <si>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</si>
  <si>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</si>
  <si>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</si>
  <si>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</si>
  <si>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</si>
  <si>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</si>
  <si>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</si>
  <si>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</si>
  <si>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</si>
  <si>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</si>
  <si>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</si>
  <si>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</si>
  <si>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</si>
  <si>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</si>
  <si>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</si>
  <si>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</si>
  <si>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</si>
  <si>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</si>
  <si>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</si>
  <si>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</si>
  <si>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</si>
  <si>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</si>
  <si>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</si>
  <si>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</si>
  <si>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</si>
  <si>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</si>
  <si>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</si>
  <si>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</si>
  <si>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</si>
  <si>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</si>
  <si>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</si>
  <si>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</si>
  <si>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</si>
  <si>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</si>
  <si>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</si>
  <si>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</si>
  <si>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</si>
  <si>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</si>
  <si>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</si>
  <si>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</si>
  <si>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</si>
  <si>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</si>
  <si>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</si>
  <si>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</si>
  <si>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</si>
  <si>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</si>
  <si>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</si>
  <si>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</si>
  <si>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</si>
  <si>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</si>
  <si>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</si>
  <si>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</si>
  <si>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</si>
  <si>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</si>
  <si>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</si>
  <si>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</si>
  <si>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</si>
  <si>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</si>
  <si>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</si>
  <si>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</si>
  <si>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</si>
  <si>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</si>
  <si>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</si>
  <si>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</si>
  <si>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</si>
  <si>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</si>
  <si>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</si>
  <si>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</si>
  <si>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</si>
  <si>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</si>
  <si>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</si>
  <si>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</si>
  <si>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</si>
  <si>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</si>
  <si>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</si>
  <si>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</si>
  <si>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</si>
  <si>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</si>
  <si>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</si>
  <si>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</si>
  <si>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</si>
  <si>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</si>
  <si>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</si>
  <si>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</si>
  <si>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</si>
  <si>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</si>
  <si>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</si>
  <si>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</si>
  <si>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</si>
  <si>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</si>
  <si>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</si>
  <si>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</si>
  <si>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</si>
  <si>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</si>
  <si>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</si>
  <si>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</si>
  <si>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</si>
  <si>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</si>
  <si>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</si>
  <si>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</si>
  <si>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</si>
  <si>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</si>
  <si>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</si>
  <si>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</si>
  <si>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</si>
  <si>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</si>
  <si>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</si>
  <si>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</si>
  <si>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</si>
  <si>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</si>
  <si>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</si>
  <si>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</si>
  <si>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</si>
  <si>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</si>
  <si>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</si>
  <si>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</si>
  <si>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</si>
  <si>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</si>
  <si>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</si>
  <si>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</si>
  <si>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</si>
  <si>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</si>
  <si>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</si>
  <si>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</si>
  <si>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</si>
  <si>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</si>
  <si>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</si>
  <si>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</si>
  <si>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</si>
  <si>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</si>
  <si>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</si>
  <si>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</si>
  <si>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</si>
  <si>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</si>
  <si>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</si>
  <si>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</si>
  <si>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</si>
  <si>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</si>
  <si>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</si>
  <si>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</si>
  <si>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</si>
  <si>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</si>
  <si>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</si>
  <si>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</si>
  <si>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</si>
  <si>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</si>
  <si>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</si>
  <si>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</si>
  <si>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</si>
  <si>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</si>
  <si>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</si>
  <si>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</si>
  <si>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</si>
  <si>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</si>
  <si>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</si>
  <si>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</si>
  <si>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</si>
  <si>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</si>
  <si>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</si>
  <si>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</si>
  <si>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</si>
  <si>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</si>
  <si>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</si>
  <si>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</si>
  <si>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</si>
  <si>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</si>
  <si>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</si>
  <si>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</si>
  <si>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</si>
  <si>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</si>
  <si>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</si>
  <si>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</si>
  <si>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</si>
  <si>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</si>
  <si>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</si>
  <si>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</si>
  <si>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</si>
  <si>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</si>
  <si>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</si>
  <si>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</si>
  <si>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</si>
  <si>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</si>
  <si>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</si>
  <si>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</si>
  <si>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</si>
  <si>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</si>
  <si>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</si>
  <si>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</si>
  <si>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</si>
  <si>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</si>
  <si>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</si>
  <si>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</si>
  <si>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</si>
  <si>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</si>
  <si>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</si>
  <si>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</si>
  <si>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</si>
  <si>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</si>
  <si>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</si>
  <si>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</si>
  <si>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</si>
  <si>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</si>
  <si>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</si>
  <si>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</si>
  <si>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</si>
  <si>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</si>
  <si>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</si>
  <si>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</si>
  <si>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</si>
  <si>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</si>
  <si>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</si>
  <si>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</si>
  <si>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</si>
  <si>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</si>
  <si>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</si>
  <si>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</si>
  <si>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</si>
  <si>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</si>
  <si>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</si>
  <si>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</si>
  <si>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</si>
  <si>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</si>
  <si>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</si>
  <si>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</si>
  <si>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</si>
  <si>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</si>
  <si>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</si>
  <si>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</si>
  <si>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</si>
  <si>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</si>
  <si>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</si>
  <si>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</si>
  <si>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</si>
  <si>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</si>
  <si>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</si>
  <si>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</si>
  <si>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</si>
  <si>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</si>
  <si>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</si>
  <si>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</si>
  <si>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</si>
  <si>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</si>
  <si>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</si>
  <si>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</si>
  <si>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</si>
  <si>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</si>
  <si>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</si>
  <si>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</si>
  <si>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</si>
  <si>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</si>
  <si>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</si>
  <si>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</si>
  <si>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</si>
  <si>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</si>
  <si>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</si>
  <si>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</si>
  <si>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</si>
  <si>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</si>
  <si>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</si>
  <si>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</si>
  <si>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</si>
  <si>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</si>
  <si>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</si>
  <si>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</si>
  <si>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</si>
  <si>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</si>
  <si>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</si>
  <si>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</si>
  <si>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</si>
  <si>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</si>
  <si>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</si>
  <si>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</si>
  <si>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</si>
  <si>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</si>
  <si>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</si>
  <si>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</si>
  <si>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</si>
  <si>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</si>
  <si>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</si>
  <si>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</si>
  <si>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</si>
  <si>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</si>
  <si>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</si>
  <si>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</si>
  <si>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</si>
  <si>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</si>
  <si>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</si>
  <si>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</si>
  <si>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</si>
  <si>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</si>
  <si>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</si>
  <si>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</si>
  <si>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</si>
  <si>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</si>
  <si>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</si>
  <si>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</si>
  <si>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</si>
  <si>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Annual Escalation Rate</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</si>
  <si>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</si>
  <si>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</si>
  <si>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</si>
  <si>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</si>
  <si>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</si>
  <si>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</si>
  <si>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</si>
  <si>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</si>
  <si>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</si>
  <si>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</si>
  <si>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</si>
  <si>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</si>
  <si>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</si>
  <si>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</si>
  <si>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</si>
  <si>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</si>
  <si>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</si>
  <si>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</si>
  <si>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</si>
  <si>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</si>
  <si>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</si>
  <si>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</si>
  <si>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</si>
  <si>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</si>
  <si>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</si>
  <si>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</si>
  <si>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</si>
  <si>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</si>
  <si>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</si>
  <si>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</si>
  <si>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</si>
  <si>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</si>
  <si>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</si>
  <si>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</si>
  <si>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</si>
  <si>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</si>
  <si>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</si>
  <si>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</si>
  <si>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</si>
  <si>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</si>
  <si>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</si>
  <si>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</si>
  <si>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</si>
  <si>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</si>
  <si>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</si>
  <si>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</si>
  <si>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</si>
  <si>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</si>
  <si>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</si>
  <si>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</si>
  <si>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</si>
  <si>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</si>
  <si>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</si>
  <si>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</si>
  <si>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</si>
  <si>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</si>
  <si>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</si>
  <si>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</si>
  <si>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</si>
  <si>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</si>
  <si>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</si>
  <si>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</si>
  <si>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</si>
  <si>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</si>
  <si>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</si>
  <si>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</si>
  <si>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</si>
  <si>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</si>
  <si>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</si>
  <si>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</si>
  <si>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</si>
  <si>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</si>
  <si>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</si>
  <si>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</si>
  <si>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</si>
  <si>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</si>
  <si>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</si>
  <si>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</si>
  <si>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</si>
  <si>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</si>
  <si>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</si>
  <si>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</si>
  <si>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</si>
  <si>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</si>
  <si>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</si>
  <si>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</si>
  <si>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</si>
  <si>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</si>
  <si>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</si>
  <si>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</si>
  <si>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</si>
  <si>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</si>
  <si>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</si>
  <si>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</si>
  <si>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</si>
  <si>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</si>
  <si>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</si>
  <si>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</si>
  <si>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</si>
  <si>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</si>
  <si>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</si>
  <si>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</si>
  <si>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</si>
  <si>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</si>
  <si>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</si>
  <si>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</si>
  <si>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</si>
  <si>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</si>
  <si>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</si>
  <si>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</si>
  <si>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</si>
  <si>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</si>
  <si>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</si>
  <si>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</si>
  <si>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</si>
  <si>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</si>
  <si>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</si>
  <si>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</si>
  <si>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</si>
  <si>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</si>
  <si>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</si>
  <si>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</si>
  <si>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</si>
  <si>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</si>
  <si>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</si>
  <si>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</si>
  <si>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</si>
  <si>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</si>
  <si>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</si>
  <si>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</si>
  <si>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</si>
  <si>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</si>
  <si>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</si>
  <si>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</si>
  <si>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</si>
  <si>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</si>
  <si>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</si>
  <si>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</si>
  <si>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</si>
  <si>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</si>
  <si>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</si>
  <si>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</si>
  <si>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</si>
  <si>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</si>
  <si>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</si>
  <si>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</si>
  <si>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</si>
  <si>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</si>
  <si>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</si>
  <si>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</si>
  <si>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</si>
  <si>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</si>
  <si>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</si>
  <si>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</si>
  <si>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</si>
  <si>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</si>
  <si>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</si>
  <si>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</si>
  <si>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</si>
  <si>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</si>
  <si>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</si>
  <si>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</si>
  <si>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</si>
  <si>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</si>
  <si>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</si>
  <si>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</si>
  <si>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</si>
  <si>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</si>
  <si>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</si>
  <si>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</si>
  <si>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</si>
  <si>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</si>
  <si>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</si>
  <si>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</si>
  <si>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Current Date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</si>
  <si>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</si>
  <si>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</si>
  <si>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</si>
  <si>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</si>
  <si>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</si>
  <si>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</si>
  <si>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</si>
  <si>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</si>
  <si>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</si>
  <si>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</si>
  <si>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</si>
  <si>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</si>
  <si>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</si>
  <si>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</si>
  <si>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</si>
  <si>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</si>
  <si>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</si>
  <si>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</si>
  <si>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</si>
  <si>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</si>
  <si>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</si>
  <si>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</si>
  <si>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</si>
  <si>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</si>
  <si>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</si>
  <si>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</si>
  <si>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</si>
  <si>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</si>
  <si>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</si>
  <si>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</si>
  <si>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</si>
  <si>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</si>
  <si>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</si>
  <si>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</si>
  <si>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</si>
  <si>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</si>
  <si>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</si>
  <si>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</si>
  <si>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</si>
  <si>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</si>
  <si>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</si>
  <si>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Environmental Impact Report (EIR) </t>
  </si>
  <si>
    <t>BITS Comp Request</t>
  </si>
  <si>
    <t>Cost guidance - See DEB Newsletter #53 - May 2019 &gt;</t>
  </si>
  <si>
    <t>Capital Budget Request Amounts</t>
  </si>
  <si>
    <t>CR-1 Cost Calculation Guidance &gt;</t>
  </si>
  <si>
    <t>2014</t>
  </si>
  <si>
    <t>CR-1  Project Planner</t>
  </si>
  <si>
    <t>Net Area (sf)</t>
  </si>
  <si>
    <t>FY 2023</t>
  </si>
  <si>
    <t>Calendar Year 2022</t>
  </si>
  <si>
    <t>Total Escalation Rate</t>
  </si>
  <si>
    <t>Amount Required For Bid Documents</t>
  </si>
  <si>
    <t>Percent Required For Bid Documents</t>
  </si>
  <si>
    <t>Prevailing Wage Premium Allowance</t>
  </si>
  <si>
    <t>%</t>
  </si>
  <si>
    <t xml:space="preserve">Grand Total   </t>
  </si>
  <si>
    <t>From RSMeans Construction Cost Indexes, 2022, using the Historical Cost Index (HCI).  Copyright RSMeans, Rockland, MA 781-422-5000; All rights reserved.</t>
  </si>
  <si>
    <t>Note</t>
  </si>
  <si>
    <t>The amount required for acquisition, shown in the blue highlighted cell, does not include escalation or supply chain premium.</t>
  </si>
  <si>
    <t>The amount requried for construction, shown in the blue highlighted cell, includes escalation and supply chain premium to the mid-point of construction.</t>
  </si>
  <si>
    <t>The amount required for FF&amp;E, shown in the blue highlighted cell, includes escalation and supply chain premium to the end of construction.</t>
  </si>
  <si>
    <t>The amount required for soft costs, shown in the blue highlighted cell, includes escalation to the start of construction.</t>
  </si>
  <si>
    <t>FY 2023 Project Planner</t>
  </si>
  <si>
    <t>Phase Title:</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</si>
  <si>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</si>
  <si>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</si>
  <si>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</si>
  <si>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</si>
  <si>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</si>
  <si>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</si>
  <si>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</si>
  <si>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</si>
  <si>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</si>
  <si>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</si>
  <si>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</si>
  <si>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</si>
  <si>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</si>
  <si>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</si>
  <si>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</si>
  <si>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</si>
  <si>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</si>
  <si>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</si>
  <si>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</si>
  <si>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</si>
  <si>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</si>
  <si>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</si>
  <si>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1/1/22 to Start of construction</t>
  </si>
  <si>
    <t>Supply Chain Premium 2022</t>
  </si>
  <si>
    <t>1/1/22 to half-way to start of const.</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</si>
  <si>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</si>
  <si>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</si>
  <si>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</si>
  <si>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</si>
  <si>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</si>
  <si>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</si>
  <si>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</si>
  <si>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</si>
  <si>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</si>
  <si>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</si>
  <si>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</si>
  <si>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</si>
  <si>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</si>
  <si>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</si>
  <si>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Costs at Mid-construction **</t>
  </si>
  <si>
    <t>Soft Costs</t>
  </si>
  <si>
    <t>** Soft costs are escalated to the start of construction, whereas construction is escalated to the mid-point of construction; therefore, the soft cost percentage reduces in the escalated column.</t>
  </si>
  <si>
    <t>Benchmark comparable project:</t>
  </si>
  <si>
    <t>* Construction cost of the best (benchmark) comparable project with location adjustment and escalation to 1/1/22 using RS Means' HCI index.</t>
  </si>
  <si>
    <t>XYZ Hall</t>
  </si>
  <si>
    <t>Average Agency</t>
  </si>
  <si>
    <t>2022-2024</t>
  </si>
  <si>
    <t>Main</t>
  </si>
  <si>
    <t>Construction of a two level classroom building and renovation of an existing classroom building.</t>
  </si>
  <si>
    <t xml:space="preserve">The student population has exceeded the capacity of the existing space on campus.  </t>
  </si>
  <si>
    <t>Alternate schedules but that does not serve the student population well.</t>
  </si>
  <si>
    <t>Comps plus supplemental estimates</t>
  </si>
  <si>
    <t>Site Acquisition Phase</t>
  </si>
  <si>
    <t>Construction Phase</t>
  </si>
  <si>
    <t>Miscellaneous site acquisition soft costs</t>
  </si>
  <si>
    <t xml:space="preserve">45 Seat Classroom </t>
  </si>
  <si>
    <t xml:space="preserve">60 Seat Classroom </t>
  </si>
  <si>
    <t xml:space="preserve">72 Seat Classroom </t>
  </si>
  <si>
    <t xml:space="preserve">100 Seat Classroom </t>
  </si>
  <si>
    <t xml:space="preserve">Open Computer Laboratory </t>
  </si>
  <si>
    <t xml:space="preserve">Student Collaborative Learning Spaces </t>
  </si>
  <si>
    <t xml:space="preserve">Dean's Office </t>
  </si>
  <si>
    <t xml:space="preserve">Associate Dean's Office </t>
  </si>
  <si>
    <t xml:space="preserve">Professional Staff Offices </t>
  </si>
  <si>
    <t>New Classroom Buildings</t>
  </si>
  <si>
    <t>Construct New Hall 1</t>
  </si>
  <si>
    <t>Construct New Hall 2</t>
  </si>
  <si>
    <t>Construct New Hall 3</t>
  </si>
  <si>
    <t>Charlottesville, VA</t>
  </si>
  <si>
    <t>Blacksburg, VA</t>
  </si>
  <si>
    <t>Virginia Beach, VA</t>
  </si>
  <si>
    <t>Remove foundation piers from comp ($1.2m)</t>
  </si>
  <si>
    <t>Maker Lab</t>
  </si>
  <si>
    <t>Loading Dock</t>
  </si>
  <si>
    <t xml:space="preserve">Conference Room </t>
  </si>
  <si>
    <t xml:space="preserve">General Storage </t>
  </si>
  <si>
    <t xml:space="preserve">IT Storage/Work Room </t>
  </si>
  <si>
    <t xml:space="preserve">Restrooms </t>
  </si>
  <si>
    <t xml:space="preserve">Cyber Café </t>
  </si>
  <si>
    <t xml:space="preserve">Vending &amp; Seating Area </t>
  </si>
  <si>
    <t>Renovate Classroom Buildings - H</t>
  </si>
  <si>
    <t>Renovate B Hall</t>
  </si>
  <si>
    <t>Renovate C Hall</t>
  </si>
  <si>
    <t>Renovate D Hall</t>
  </si>
  <si>
    <t>GBU</t>
  </si>
  <si>
    <t>HU</t>
  </si>
  <si>
    <t>WU</t>
  </si>
  <si>
    <t>Green Bay, WI</t>
  </si>
  <si>
    <t>Hampton, VA</t>
  </si>
  <si>
    <t>Williamsburg, VA</t>
  </si>
  <si>
    <t>Parking spaces</t>
  </si>
  <si>
    <t>Parking Structure</t>
  </si>
  <si>
    <t>New Parking Structure</t>
  </si>
  <si>
    <t>New Parking Deck</t>
  </si>
  <si>
    <t>Soil remediation at parking deck site and landscape/hardscape between addition/renovation and parking deck</t>
  </si>
  <si>
    <t xml:space="preserve">Soil remediation </t>
  </si>
  <si>
    <t>Remove unsuitable soil</t>
  </si>
  <si>
    <t>cy</t>
  </si>
  <si>
    <t>Install structural fill</t>
  </si>
  <si>
    <t>Landscaping</t>
  </si>
  <si>
    <t>Excavation</t>
  </si>
  <si>
    <t>ea</t>
  </si>
  <si>
    <t>Soil</t>
  </si>
  <si>
    <t>Shrub (allowance)</t>
  </si>
  <si>
    <t>Sod</t>
  </si>
  <si>
    <t>sf</t>
  </si>
  <si>
    <t>Mulch</t>
  </si>
  <si>
    <t>Cleanup</t>
  </si>
  <si>
    <t>Hardscaping</t>
  </si>
  <si>
    <t>Gravel</t>
  </si>
  <si>
    <t>Stamped concrete</t>
  </si>
  <si>
    <t>Database date to current date</t>
  </si>
  <si>
    <t>Multiplier</t>
  </si>
  <si>
    <t>Escalated 
Amounts</t>
  </si>
  <si>
    <t>Non-Escalated
Amounts</t>
  </si>
  <si>
    <t>Supply Chain Premium 2023</t>
  </si>
  <si>
    <t>Supply Chain Premium After 2023</t>
  </si>
  <si>
    <t xml:space="preserve">to Mid-Point of Const. </t>
  </si>
  <si>
    <t xml:space="preserve">to End of Const. </t>
  </si>
  <si>
    <t>Escalation from</t>
  </si>
  <si>
    <t>to</t>
  </si>
  <si>
    <t>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</si>
</sst>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 numFmtId="174" formatCode="0.000"/>
    <numFmt numFmtId="175" formatCode="_(* #,##0_);_(* \(#,##0\);_(* &quot;-&quot;??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s>
  <fills count="3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
      <patternFill patternType="solid">
        <fgColor theme="8"/>
        <bgColor indexed="64"/>
      </patternFill>
    </fill>
  </fills>
  <borders count="6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3743705557422"/>
      </left>
      <right style="medium">
        <color indexed="64"/>
      </right>
      <top style="thin">
        <color theme="0" tint="-0.149937437055574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775">
    <xf numFmtId="0" fontId="0" fillId="0" borderId="0" xfId="0"/>
    <xf numFmtId="0" fontId="9" fillId="0" borderId="0" xfId="0" applyFont="1"/>
    <xf numFmtId="0" fontId="6" fillId="0" borderId="0" xfId="0" applyFont="1"/>
    <xf numFmtId="0" fontId="6" fillId="0" borderId="0" xfId="0" applyFont="1" applyBorder="1"/>
    <xf numFmtId="0" fontId="18" fillId="0" borderId="0" xfId="0" applyFont="1" applyAlignment="1">
      <alignment vertical="center"/>
    </xf>
    <xf numFmtId="0" fontId="0" fillId="0" borderId="0" xfId="0" applyBorder="1"/>
    <xf numFmtId="0" fontId="0" fillId="0" borderId="0" xfId="0" applyFill="1"/>
    <xf numFmtId="0" fontId="0" fillId="0" borderId="0" xfId="0" applyBorder="1"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Border="1"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Fill="1" applyAlignment="1" applyProtection="1">
      <alignment horizontal="center" vertical="center"/>
    </xf>
    <xf numFmtId="0" fontId="0" fillId="0" borderId="0" xfId="0" applyFill="1" applyAlignment="1">
      <alignment vertical="center"/>
    </xf>
    <xf numFmtId="0" fontId="0" fillId="0" borderId="0" xfId="0" applyFill="1" applyBorder="1" applyAlignment="1">
      <alignment vertical="center" wrapText="1"/>
    </xf>
    <xf numFmtId="41" fontId="12" fillId="0" borderId="1" xfId="8" applyNumberFormat="1" applyFont="1" applyFill="1" applyBorder="1" applyProtection="1"/>
    <xf numFmtId="9" fontId="12" fillId="0" borderId="1" xfId="8" applyNumberFormat="1" applyFont="1" applyFill="1" applyBorder="1" applyAlignment="1" applyProtection="1">
      <alignment horizontal="center"/>
    </xf>
    <xf numFmtId="41" fontId="12" fillId="0" borderId="8" xfId="8" applyNumberFormat="1" applyFont="1" applyFill="1" applyBorder="1" applyProtection="1"/>
    <xf numFmtId="9" fontId="12" fillId="0" borderId="8" xfId="8" applyNumberFormat="1" applyFont="1" applyFill="1" applyBorder="1" applyAlignment="1" applyProtection="1">
      <alignment horizontal="center"/>
    </xf>
    <xf numFmtId="0" fontId="0" fillId="0" borderId="0" xfId="0" applyAlignment="1">
      <alignment vertical="center"/>
    </xf>
    <xf numFmtId="0" fontId="0" fillId="0" borderId="0" xfId="0" applyAlignment="1">
      <alignment vertical="top"/>
    </xf>
    <xf numFmtId="0" fontId="0" fillId="0" borderId="0" xfId="0" applyFill="1" applyAlignment="1">
      <alignment vertical="top"/>
    </xf>
    <xf numFmtId="0" fontId="6" fillId="0" borderId="0" xfId="0" applyFont="1" applyFill="1" applyAlignment="1">
      <alignment horizontal="center" vertical="top"/>
    </xf>
    <xf numFmtId="0" fontId="12" fillId="0" borderId="7" xfId="8" applyFont="1" applyFill="1" applyBorder="1" applyAlignment="1" applyProtection="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Border="1" applyAlignment="1">
      <alignment horizontal="left" vertical="center"/>
    </xf>
    <xf numFmtId="0" fontId="10" fillId="0" borderId="0" xfId="10" applyFont="1" applyBorder="1" applyAlignment="1">
      <alignment horizontal="center" vertical="center"/>
    </xf>
    <xf numFmtId="0" fontId="7" fillId="0" borderId="0" xfId="10" applyFont="1" applyAlignment="1">
      <alignment vertical="center"/>
    </xf>
    <xf numFmtId="0" fontId="4" fillId="0" borderId="0" xfId="10" applyBorder="1" applyAlignment="1">
      <alignment vertical="center"/>
    </xf>
    <xf numFmtId="164" fontId="8" fillId="0" borderId="0" xfId="10" applyNumberFormat="1" applyFont="1" applyAlignment="1">
      <alignment horizontal="right" vertical="center"/>
    </xf>
    <xf numFmtId="0" fontId="4" fillId="0" borderId="0" xfId="10" applyFont="1" applyAlignment="1">
      <alignment vertical="center"/>
    </xf>
    <xf numFmtId="0" fontId="12" fillId="0" borderId="0" xfId="10" applyFont="1" applyBorder="1" applyAlignment="1">
      <alignment vertical="center"/>
    </xf>
    <xf numFmtId="0" fontId="8" fillId="0" borderId="0" xfId="10" applyFont="1" applyBorder="1" applyAlignment="1">
      <alignment horizontal="center" vertical="center"/>
    </xf>
    <xf numFmtId="0" fontId="4" fillId="0" borderId="0" xfId="10" applyAlignment="1">
      <alignment vertical="center"/>
    </xf>
    <xf numFmtId="0" fontId="4" fillId="0" borderId="0" xfId="10" applyBorder="1" applyAlignment="1">
      <alignment horizontal="left" vertical="center" indent="2"/>
    </xf>
    <xf numFmtId="49" fontId="4" fillId="4" borderId="28" xfId="10" applyNumberFormat="1" applyFont="1" applyFill="1" applyBorder="1" applyAlignment="1" applyProtection="1">
      <alignment vertical="center" wrapText="1"/>
      <protection locked="0"/>
    </xf>
    <xf numFmtId="167" fontId="4" fillId="4" borderId="28" xfId="10" applyNumberFormat="1" applyFont="1" applyFill="1" applyBorder="1" applyAlignment="1" applyProtection="1">
      <alignment horizontal="left" vertical="center" wrapText="1"/>
      <protection locked="0"/>
    </xf>
    <xf numFmtId="0" fontId="6" fillId="0" borderId="0" xfId="10" applyFont="1" applyBorder="1" applyAlignment="1">
      <alignment horizontal="center" vertical="center"/>
    </xf>
    <xf numFmtId="166" fontId="4" fillId="4" borderId="28" xfId="10" applyNumberFormat="1" applyFill="1" applyBorder="1" applyAlignment="1" applyProtection="1">
      <alignment vertical="center" wrapText="1"/>
      <protection locked="0"/>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0" fontId="4" fillId="0" borderId="0" xfId="10" applyFont="1" applyFill="1" applyAlignment="1">
      <alignment vertical="center"/>
    </xf>
    <xf numFmtId="167" fontId="4" fillId="4" borderId="28" xfId="10" applyNumberFormat="1" applyFill="1" applyBorder="1" applyAlignment="1" applyProtection="1">
      <alignment vertical="center" wrapText="1"/>
      <protection locked="0"/>
    </xf>
    <xf numFmtId="0" fontId="4" fillId="0" borderId="0" xfId="10" applyFill="1" applyAlignment="1">
      <alignment vertical="center"/>
    </xf>
    <xf numFmtId="0" fontId="16" fillId="0" borderId="0" xfId="2" applyAlignment="1" applyProtection="1"/>
    <xf numFmtId="0" fontId="15" fillId="0" borderId="0" xfId="10" applyFont="1" applyBorder="1" applyAlignment="1">
      <alignment vertical="top"/>
    </xf>
    <xf numFmtId="0" fontId="4" fillId="0" borderId="28" xfId="10" applyNumberFormat="1" applyFont="1" applyFill="1" applyBorder="1" applyAlignment="1" applyProtection="1">
      <alignment vertical="center" wrapText="1"/>
      <protection locked="0"/>
    </xf>
    <xf numFmtId="14" fontId="4" fillId="0" borderId="0" xfId="10" applyNumberFormat="1" applyFon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Border="1" applyAlignment="1">
      <alignment horizontal="left" vertical="center"/>
    </xf>
    <xf numFmtId="0" fontId="15" fillId="0" borderId="0" xfId="10" applyFont="1" applyBorder="1" applyAlignment="1">
      <alignment horizontal="center" vertical="center"/>
    </xf>
    <xf numFmtId="0" fontId="4" fillId="0" borderId="0" xfId="10" applyFont="1" applyBorder="1" applyAlignment="1">
      <alignment vertical="center"/>
    </xf>
    <xf numFmtId="164" fontId="6" fillId="0" borderId="0" xfId="10" applyNumberFormat="1" applyFont="1" applyAlignment="1">
      <alignment horizontal="right" vertical="center"/>
    </xf>
    <xf numFmtId="0" fontId="4" fillId="0" borderId="0" xfId="9" applyFont="1" applyFill="1" applyAlignment="1" applyProtection="1">
      <alignment vertical="center"/>
    </xf>
    <xf numFmtId="0" fontId="6" fillId="0" borderId="0" xfId="9" applyFont="1" applyFill="1" applyAlignment="1" applyProtection="1">
      <alignment vertical="center"/>
    </xf>
    <xf numFmtId="170" fontId="4" fillId="0" borderId="0" xfId="9" applyNumberFormat="1" applyFont="1" applyFill="1" applyAlignment="1" applyProtection="1">
      <alignment horizontal="center" vertical="center"/>
    </xf>
    <xf numFmtId="44" fontId="4" fillId="0" borderId="0" xfId="1" applyFont="1" applyFill="1" applyAlignment="1" applyProtection="1">
      <alignment vertical="center"/>
    </xf>
    <xf numFmtId="0" fontId="4" fillId="0" borderId="0" xfId="10" applyFont="1" applyBorder="1" applyAlignment="1">
      <alignment horizontal="center" vertical="center"/>
    </xf>
    <xf numFmtId="0" fontId="4" fillId="0" borderId="0" xfId="10" applyFont="1" applyAlignment="1">
      <alignment horizontal="center" vertical="center"/>
    </xf>
    <xf numFmtId="3" fontId="15" fillId="0" borderId="0" xfId="10" applyNumberFormat="1" applyFont="1" applyBorder="1" applyAlignment="1">
      <alignment horizontal="left" vertical="center"/>
    </xf>
    <xf numFmtId="3" fontId="4" fillId="0" borderId="0" xfId="10" applyNumberFormat="1" applyFont="1" applyBorder="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Font="1" applyBorder="1" applyAlignment="1">
      <alignment vertical="center" wrapText="1"/>
    </xf>
    <xf numFmtId="0" fontId="0" fillId="0" borderId="0" xfId="0" applyFill="1" applyBorder="1" applyAlignment="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4" fillId="0" borderId="0" xfId="0" applyFont="1" applyFill="1" applyAlignment="1">
      <alignment horizontal="center"/>
    </xf>
    <xf numFmtId="0" fontId="4" fillId="0" borderId="0" xfId="9" applyFont="1" applyFill="1" applyAlignment="1" applyProtection="1">
      <alignment vertical="center" wrapText="1"/>
    </xf>
    <xf numFmtId="0" fontId="15" fillId="0" borderId="0" xfId="1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12" fillId="0" borderId="3" xfId="8" applyFont="1" applyFill="1" applyBorder="1" applyAlignment="1" applyProtection="1">
      <alignment horizontal="left"/>
    </xf>
    <xf numFmtId="0" fontId="12" fillId="0" borderId="1" xfId="8" applyFont="1" applyFill="1" applyBorder="1" applyAlignment="1" applyProtection="1">
      <alignment horizontal="left"/>
    </xf>
    <xf numFmtId="22" fontId="4" fillId="0" borderId="0" xfId="10" applyNumberFormat="1" applyBorder="1" applyAlignment="1">
      <alignment vertical="center"/>
    </xf>
    <xf numFmtId="0" fontId="7" fillId="0" borderId="0" xfId="8" applyFont="1" applyFill="1" applyProtection="1"/>
    <xf numFmtId="0" fontId="10" fillId="0" borderId="0" xfId="8" applyFont="1" applyFill="1" applyBorder="1" applyAlignment="1" applyProtection="1">
      <alignment horizontal="left"/>
    </xf>
    <xf numFmtId="0" fontId="4" fillId="0" borderId="0" xfId="8" applyFont="1" applyFill="1" applyBorder="1" applyAlignment="1" applyProtection="1">
      <alignment horizontal="left"/>
    </xf>
    <xf numFmtId="9" fontId="7" fillId="0" borderId="0" xfId="8" applyNumberFormat="1" applyFont="1" applyFill="1" applyAlignment="1" applyProtection="1">
      <alignment horizontal="center"/>
    </xf>
    <xf numFmtId="0" fontId="4" fillId="0" borderId="0" xfId="8" applyFill="1" applyProtection="1"/>
    <xf numFmtId="9" fontId="13" fillId="0" borderId="2" xfId="8" applyNumberFormat="1" applyFont="1" applyFill="1" applyBorder="1" applyAlignment="1" applyProtection="1">
      <alignment horizontal="center" wrapText="1"/>
    </xf>
    <xf numFmtId="0" fontId="13" fillId="0" borderId="2" xfId="8" applyFont="1" applyFill="1" applyBorder="1" applyAlignment="1" applyProtection="1">
      <alignment horizontal="center" wrapText="1"/>
    </xf>
    <xf numFmtId="0" fontId="11" fillId="0" borderId="0" xfId="8" applyFont="1" applyFill="1" applyBorder="1" applyAlignment="1" applyProtection="1">
      <alignment horizontal="center"/>
    </xf>
    <xf numFmtId="9" fontId="11" fillId="0" borderId="0" xfId="8" applyNumberFormat="1" applyFont="1" applyFill="1" applyBorder="1" applyAlignment="1" applyProtection="1">
      <alignment horizontal="center"/>
    </xf>
    <xf numFmtId="0" fontId="11" fillId="0" borderId="2" xfId="8" applyFont="1" applyFill="1" applyBorder="1" applyAlignment="1" applyProtection="1">
      <alignment horizontal="center"/>
    </xf>
    <xf numFmtId="9" fontId="11" fillId="0" borderId="2" xfId="8" applyNumberFormat="1" applyFont="1" applyFill="1" applyBorder="1" applyAlignment="1" applyProtection="1">
      <alignment horizontal="center"/>
    </xf>
    <xf numFmtId="9" fontId="4" fillId="0" borderId="0" xfId="8" applyNumberFormat="1" applyFill="1" applyAlignment="1" applyProtection="1">
      <alignment horizontal="center"/>
    </xf>
    <xf numFmtId="0" fontId="0" fillId="0" borderId="0" xfId="0" applyFill="1" applyAlignment="1" applyProtection="1">
      <alignment vertical="center" wrapText="1"/>
    </xf>
    <xf numFmtId="0" fontId="6" fillId="0" borderId="0" xfId="0" applyFont="1" applyFill="1" applyAlignment="1" applyProtection="1">
      <alignment vertical="center"/>
    </xf>
    <xf numFmtId="41" fontId="12" fillId="0" borderId="11" xfId="8" applyNumberFormat="1" applyFont="1" applyFill="1" applyBorder="1" applyProtection="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xf>
    <xf numFmtId="170" fontId="6" fillId="0" borderId="16" xfId="9" applyNumberFormat="1" applyFont="1" applyFill="1" applyBorder="1" applyAlignment="1" applyProtection="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wrapText="1"/>
    </xf>
    <xf numFmtId="170" fontId="6" fillId="0" borderId="16" xfId="9" applyNumberFormat="1" applyFont="1" applyFill="1" applyBorder="1" applyAlignment="1" applyProtection="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31" xfId="0" applyFill="1"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4" fillId="0" borderId="0" xfId="0" applyFont="1" applyFill="1" applyBorder="1" applyAlignment="1">
      <alignment horizontal="center" vertical="center"/>
    </xf>
    <xf numFmtId="0" fontId="30" fillId="0" borderId="0" xfId="0" applyFont="1" applyFill="1"/>
    <xf numFmtId="14" fontId="0" fillId="0" borderId="16" xfId="0" applyNumberFormat="1" applyFill="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4" fillId="0" borderId="16" xfId="0" applyFont="1" applyFill="1" applyBorder="1" applyAlignment="1">
      <alignment vertical="center" wrapText="1"/>
    </xf>
    <xf numFmtId="14" fontId="4" fillId="0" borderId="0" xfId="10" applyNumberFormat="1" applyFont="1" applyAlignment="1">
      <alignment horizontal="left" vertical="center"/>
    </xf>
    <xf numFmtId="0" fontId="4" fillId="0" borderId="0" xfId="10" applyFont="1" applyBorder="1" applyAlignment="1">
      <alignment vertical="center" wrapText="1"/>
    </xf>
    <xf numFmtId="0" fontId="4" fillId="0" borderId="0" xfId="9" applyFont="1" applyFill="1" applyBorder="1" applyAlignment="1" applyProtection="1">
      <alignment vertical="center"/>
    </xf>
    <xf numFmtId="0" fontId="0" fillId="0" borderId="20" xfId="0" applyFill="1"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Fill="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applyFont="1"/>
    <xf numFmtId="0" fontId="4" fillId="25" borderId="0" xfId="10" applyFont="1" applyFill="1"/>
    <xf numFmtId="0" fontId="4" fillId="0" borderId="0" xfId="10" applyFont="1" applyAlignment="1">
      <alignment wrapText="1"/>
    </xf>
    <xf numFmtId="0" fontId="41" fillId="25" borderId="0" xfId="10" applyFont="1" applyFill="1"/>
    <xf numFmtId="0" fontId="41" fillId="0" borderId="0" xfId="10" applyFont="1"/>
    <xf numFmtId="0" fontId="4" fillId="0" borderId="0" xfId="10" applyFont="1" applyAlignment="1">
      <alignment horizontal="center" vertical="center" wrapText="1"/>
    </xf>
    <xf numFmtId="0" fontId="4" fillId="0" borderId="0" xfId="10" applyFont="1" applyFill="1" applyAlignment="1">
      <alignment horizontal="center" vertical="center"/>
    </xf>
    <xf numFmtId="0" fontId="4" fillId="0" borderId="0" xfId="10" applyFont="1" applyBorder="1" applyAlignment="1">
      <alignment horizontal="center" vertical="center" wrapText="1"/>
    </xf>
    <xf numFmtId="0" fontId="19" fillId="0" borderId="0" xfId="2" applyFont="1" applyAlignment="1" applyProtection="1">
      <alignment horizontal="center" vertical="center"/>
    </xf>
    <xf numFmtId="0" fontId="41" fillId="0" borderId="0" xfId="10" applyFont="1" applyFill="1" applyAlignment="1">
      <alignment wrapText="1"/>
    </xf>
    <xf numFmtId="0" fontId="41" fillId="0" borderId="0" xfId="10" applyFont="1" applyFill="1"/>
    <xf numFmtId="0" fontId="40" fillId="25" borderId="0" xfId="10" applyFont="1" applyFill="1" applyAlignment="1">
      <alignment vertical="center"/>
    </xf>
    <xf numFmtId="0" fontId="4" fillId="0" borderId="0" xfId="10" applyFont="1" applyBorder="1"/>
    <xf numFmtId="0" fontId="4" fillId="0" borderId="0" xfId="10" applyFont="1" applyBorder="1" applyAlignment="1">
      <alignment wrapText="1"/>
    </xf>
    <xf numFmtId="0" fontId="22" fillId="0" borderId="0" xfId="10" applyFont="1"/>
    <xf numFmtId="0" fontId="22" fillId="0" borderId="0" xfId="10" applyFont="1" applyBorder="1"/>
    <xf numFmtId="0" fontId="22" fillId="0" borderId="0" xfId="10" applyFont="1" applyBorder="1" applyAlignment="1">
      <alignment wrapText="1"/>
    </xf>
    <xf numFmtId="0" fontId="42" fillId="0" borderId="0" xfId="10" applyFont="1" applyAlignment="1">
      <alignment horizontal="center" vertical="center"/>
    </xf>
    <xf numFmtId="0" fontId="6" fillId="0" borderId="0" xfId="10" applyFont="1" applyBorder="1" applyAlignment="1">
      <alignment horizontal="center" vertical="center" wrapText="1"/>
    </xf>
    <xf numFmtId="0" fontId="42" fillId="0" borderId="0" xfId="2" applyFont="1" applyFill="1" applyBorder="1" applyAlignment="1" applyProtection="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wrapText="1"/>
    </xf>
    <xf numFmtId="0" fontId="42" fillId="0" borderId="0" xfId="10" applyFont="1" applyFill="1" applyAlignment="1">
      <alignment horizontal="center" vertical="center"/>
    </xf>
    <xf numFmtId="0" fontId="6" fillId="0" borderId="0" xfId="10" applyFont="1" applyFill="1" applyAlignment="1">
      <alignment horizontal="center" vertical="center"/>
    </xf>
    <xf numFmtId="0" fontId="6" fillId="0" borderId="0" xfId="10" applyFont="1" applyFill="1" applyAlignment="1">
      <alignment horizontal="center" vertical="center" wrapText="1"/>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applyBorder="1"/>
    <xf numFmtId="0" fontId="21" fillId="0" borderId="0" xfId="10" applyFont="1" applyBorder="1" applyAlignment="1">
      <alignment wrapText="1"/>
    </xf>
    <xf numFmtId="0" fontId="21" fillId="0" borderId="0" xfId="10" applyFont="1"/>
    <xf numFmtId="0" fontId="4" fillId="0" borderId="0" xfId="10" applyFont="1" applyProtection="1">
      <protection locked="0"/>
    </xf>
    <xf numFmtId="0" fontId="0" fillId="0" borderId="0" xfId="0" applyAlignment="1" applyProtection="1">
      <alignment wrapText="1"/>
      <protection locked="0"/>
    </xf>
    <xf numFmtId="0" fontId="0" fillId="0" borderId="0" xfId="0" applyFill="1"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Font="1" applyFill="1" applyAlignment="1" applyProtection="1">
      <alignment vertical="center" wrapText="1"/>
      <protection locked="0"/>
    </xf>
    <xf numFmtId="170" fontId="4" fillId="0" borderId="0" xfId="9" applyNumberFormat="1" applyFont="1" applyFill="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Font="1" applyFill="1" applyAlignment="1" applyProtection="1">
      <alignment vertical="center"/>
      <protection locked="0"/>
    </xf>
    <xf numFmtId="0" fontId="0" fillId="0" borderId="0" xfId="0" applyBorder="1" applyAlignment="1" applyProtection="1">
      <alignment vertical="center"/>
      <protection locked="0"/>
    </xf>
    <xf numFmtId="0" fontId="0" fillId="0" borderId="0" xfId="0" applyBorder="1" applyAlignment="1" applyProtection="1">
      <alignment vertical="center" wrapText="1"/>
      <protection locked="0"/>
    </xf>
    <xf numFmtId="0" fontId="0" fillId="0" borderId="0" xfId="0" applyFill="1" applyBorder="1" applyAlignment="1" applyProtection="1">
      <alignment vertical="center"/>
      <protection locked="0"/>
    </xf>
    <xf numFmtId="0" fontId="4" fillId="0" borderId="0" xfId="10" applyAlignment="1" applyProtection="1">
      <alignment vertical="center"/>
      <protection locked="0"/>
    </xf>
    <xf numFmtId="0" fontId="0" fillId="0" borderId="0" xfId="0" applyProtection="1">
      <protection locked="0"/>
    </xf>
    <xf numFmtId="0" fontId="0" fillId="0" borderId="0" xfId="0" applyFill="1" applyAlignment="1" applyProtection="1">
      <alignment vertical="top"/>
      <protection locked="0"/>
    </xf>
    <xf numFmtId="0" fontId="4" fillId="0" borderId="0" xfId="10" applyFont="1"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42"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wrapText="1"/>
      <protection locked="0"/>
    </xf>
    <xf numFmtId="0" fontId="4" fillId="0" borderId="0" xfId="10" applyFont="1" applyBorder="1" applyAlignment="1" applyProtection="1">
      <alignment horizontal="center" vertical="center"/>
      <protection locked="0"/>
    </xf>
    <xf numFmtId="0" fontId="4" fillId="0" borderId="0" xfId="10" applyFont="1"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0" fillId="0" borderId="0" xfId="0" applyFill="1" applyAlignment="1" applyProtection="1">
      <alignment vertical="center"/>
      <protection locked="0"/>
    </xf>
    <xf numFmtId="3" fontId="0" fillId="0" borderId="0" xfId="0" applyNumberFormat="1" applyFill="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ont="1" applyFill="1" applyBorder="1" applyAlignment="1" applyProtection="1">
      <alignment vertical="center" wrapText="1"/>
      <protection locked="0"/>
    </xf>
    <xf numFmtId="170" fontId="4" fillId="4" borderId="16" xfId="9" applyNumberFormat="1" applyFon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5" xfId="0" applyFill="1" applyBorder="1" applyAlignment="1" applyProtection="1">
      <alignment horizontal="left" vertical="center" wrapText="1"/>
      <protection locked="0"/>
    </xf>
    <xf numFmtId="0" fontId="0" fillId="0" borderId="34" xfId="0" applyFill="1" applyBorder="1" applyAlignment="1" applyProtection="1">
      <alignment horizontal="lef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ont="1" applyFill="1" applyBorder="1" applyAlignment="1" applyProtection="1">
      <alignment vertical="center"/>
      <protection locked="0"/>
    </xf>
    <xf numFmtId="3" fontId="4" fillId="4" borderId="16" xfId="9" applyNumberFormat="1" applyFon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0" xfId="0" applyFill="1" applyBorder="1" applyAlignment="1" applyProtection="1">
      <alignment vertical="center" wrapText="1"/>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0" fillId="0" borderId="31" xfId="0" applyFill="1"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Fill="1" applyBorder="1" applyAlignment="1" applyProtection="1">
      <alignment wrapText="1"/>
    </xf>
    <xf numFmtId="0" fontId="0" fillId="0" borderId="0" xfId="0" applyBorder="1" applyAlignment="1" applyProtection="1"/>
    <xf numFmtId="0" fontId="0" fillId="0" borderId="0" xfId="0" applyProtection="1"/>
    <xf numFmtId="0" fontId="0" fillId="0" borderId="0" xfId="0" applyFill="1" applyProtection="1"/>
    <xf numFmtId="49"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42" fillId="10" borderId="16" xfId="2" applyFont="1" applyFill="1" applyBorder="1" applyAlignment="1" applyProtection="1">
      <alignment horizontal="center" vertical="center"/>
      <protection locked="0"/>
    </xf>
    <xf numFmtId="0" fontId="0" fillId="0" borderId="0" xfId="0" applyAlignment="1">
      <alignment vertical="center"/>
    </xf>
    <xf numFmtId="0" fontId="4" fillId="0" borderId="0" xfId="0" applyFont="1" applyAlignment="1">
      <alignment horizontal="left" vertical="center"/>
    </xf>
    <xf numFmtId="0" fontId="4" fillId="0" borderId="0" xfId="9" applyAlignment="1">
      <alignment vertical="center"/>
    </xf>
    <xf numFmtId="0" fontId="15" fillId="0" borderId="0" xfId="9" applyFont="1" applyAlignment="1">
      <alignment vertical="center"/>
    </xf>
    <xf numFmtId="0" fontId="6" fillId="0" borderId="0" xfId="9" applyFont="1" applyBorder="1" applyAlignment="1">
      <alignment horizontal="center" vertical="center"/>
    </xf>
    <xf numFmtId="0" fontId="4" fillId="0" borderId="0" xfId="9" applyFont="1" applyAlignment="1">
      <alignment vertical="center"/>
    </xf>
    <xf numFmtId="3" fontId="4" fillId="4" borderId="28" xfId="9" applyNumberFormat="1" applyFill="1" applyBorder="1" applyAlignment="1" applyProtection="1">
      <alignment vertical="center" wrapText="1"/>
      <protection locked="0"/>
    </xf>
    <xf numFmtId="49" fontId="4" fillId="4" borderId="28" xfId="9" applyNumberFormat="1" applyFont="1" applyFill="1" applyBorder="1" applyAlignment="1" applyProtection="1">
      <alignment vertical="center" wrapText="1"/>
      <protection locked="0"/>
    </xf>
    <xf numFmtId="0" fontId="4" fillId="0" borderId="0" xfId="9" applyFill="1" applyBorder="1" applyAlignment="1">
      <alignment vertical="center"/>
    </xf>
    <xf numFmtId="0" fontId="4" fillId="0" borderId="0" xfId="9" applyFont="1" applyFill="1" applyBorder="1" applyAlignment="1">
      <alignment vertical="center"/>
    </xf>
    <xf numFmtId="168" fontId="4" fillId="0" borderId="28" xfId="9" applyNumberFormat="1" applyFill="1" applyBorder="1" applyAlignment="1">
      <alignment vertical="center" wrapText="1"/>
    </xf>
    <xf numFmtId="0" fontId="4" fillId="0" borderId="0" xfId="9" applyFill="1" applyBorder="1" applyAlignment="1">
      <alignment vertical="center" wrapText="1"/>
    </xf>
    <xf numFmtId="0" fontId="4" fillId="0" borderId="26" xfId="9" applyFill="1" applyBorder="1" applyAlignment="1">
      <alignment vertical="center" wrapText="1"/>
    </xf>
    <xf numFmtId="0" fontId="19" fillId="0" borderId="0" xfId="9" applyFont="1" applyAlignment="1">
      <alignment vertical="center"/>
    </xf>
    <xf numFmtId="0" fontId="4" fillId="0" borderId="0" xfId="9" applyFont="1" applyFill="1" applyAlignment="1">
      <alignment vertical="center"/>
    </xf>
    <xf numFmtId="0" fontId="4" fillId="0" borderId="27" xfId="9" applyFill="1" applyBorder="1" applyAlignment="1">
      <alignment vertical="center" wrapText="1"/>
    </xf>
    <xf numFmtId="0" fontId="4" fillId="0" borderId="26" xfId="9" applyFont="1" applyFill="1" applyBorder="1" applyAlignment="1">
      <alignment vertical="center" wrapText="1"/>
    </xf>
    <xf numFmtId="168" fontId="4" fillId="4" borderId="28" xfId="9" applyNumberFormat="1" applyFont="1" applyFill="1" applyBorder="1" applyAlignment="1" applyProtection="1">
      <alignment vertical="center" wrapText="1"/>
      <protection locked="0"/>
    </xf>
    <xf numFmtId="168" fontId="4" fillId="4" borderId="28" xfId="9" applyNumberFormat="1" applyFill="1" applyBorder="1" applyAlignment="1" applyProtection="1">
      <alignment vertical="center" wrapText="1"/>
      <protection locked="0"/>
    </xf>
    <xf numFmtId="168" fontId="4" fillId="0" borderId="40" xfId="9" applyNumberFormat="1" applyFill="1" applyBorder="1" applyAlignment="1">
      <alignment vertical="center" wrapText="1"/>
    </xf>
    <xf numFmtId="168" fontId="4" fillId="0" borderId="41" xfId="9" applyNumberFormat="1" applyFill="1" applyBorder="1" applyAlignment="1">
      <alignment vertical="center" wrapText="1"/>
    </xf>
    <xf numFmtId="168" fontId="4" fillId="0" borderId="42" xfId="9" applyNumberFormat="1" applyFill="1" applyBorder="1" applyAlignment="1">
      <alignment vertical="center" wrapText="1"/>
    </xf>
    <xf numFmtId="0" fontId="4" fillId="0" borderId="0" xfId="9" applyFill="1" applyAlignment="1">
      <alignment vertical="center"/>
    </xf>
    <xf numFmtId="0" fontId="4" fillId="4" borderId="28" xfId="10" applyNumberFormat="1" applyFont="1" applyFill="1" applyBorder="1" applyAlignment="1" applyProtection="1">
      <alignment vertical="center" wrapText="1"/>
      <protection locked="0"/>
    </xf>
    <xf numFmtId="0" fontId="0" fillId="0" borderId="0" xfId="0" applyFill="1" applyBorder="1" applyAlignment="1" applyProtection="1">
      <alignment horizontal="center" vertical="center"/>
      <protection locked="0"/>
    </xf>
    <xf numFmtId="0" fontId="4" fillId="11" borderId="0" xfId="9" applyFont="1" applyFill="1" applyAlignment="1">
      <alignment vertical="center"/>
    </xf>
    <xf numFmtId="0" fontId="4" fillId="11" borderId="0" xfId="9" applyFont="1" applyFill="1" applyBorder="1" applyAlignment="1">
      <alignment horizontal="right" vertical="center"/>
    </xf>
    <xf numFmtId="0" fontId="4" fillId="11" borderId="0" xfId="9" applyFill="1" applyBorder="1" applyAlignment="1">
      <alignment vertical="center" wrapText="1"/>
    </xf>
    <xf numFmtId="0" fontId="4" fillId="11" borderId="0" xfId="9" applyFill="1" applyAlignment="1">
      <alignment vertical="center"/>
    </xf>
    <xf numFmtId="0" fontId="0" fillId="11" borderId="0" xfId="0" applyFill="1" applyAlignment="1">
      <alignment vertical="center"/>
    </xf>
    <xf numFmtId="44" fontId="4" fillId="0" borderId="0" xfId="9" applyNumberFormat="1" applyAlignment="1">
      <alignment vertical="center"/>
    </xf>
    <xf numFmtId="0" fontId="0" fillId="0" borderId="0" xfId="0" applyAlignment="1">
      <alignment vertical="center"/>
    </xf>
    <xf numFmtId="44" fontId="4" fillId="0" borderId="0" xfId="1" applyFill="1" applyAlignment="1">
      <alignment vertical="center"/>
    </xf>
    <xf numFmtId="0" fontId="4" fillId="0" borderId="0" xfId="9" applyFill="1" applyBorder="1" applyAlignment="1" applyProtection="1">
      <alignment vertical="center" wrapText="1"/>
      <protection locked="0"/>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37" fillId="0" borderId="0" xfId="0" applyFont="1" applyFill="1" applyBorder="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applyAlignment="1"/>
    <xf numFmtId="49" fontId="0" fillId="0" borderId="0" xfId="0" applyNumberFormat="1" applyAlignment="1"/>
    <xf numFmtId="49" fontId="4" fillId="0" borderId="0" xfId="0" applyNumberFormat="1" applyFont="1" applyAlignment="1"/>
    <xf numFmtId="49" fontId="4" fillId="0" borderId="0" xfId="0" applyNumberFormat="1" applyFont="1" applyAlignment="1">
      <alignment wrapText="1"/>
    </xf>
    <xf numFmtId="0" fontId="4" fillId="4" borderId="16" xfId="9" applyFont="1" applyFill="1" applyBorder="1" applyAlignment="1" applyProtection="1">
      <alignment vertical="center" wrapText="1"/>
      <protection locked="0"/>
    </xf>
    <xf numFmtId="0" fontId="4" fillId="4" borderId="16" xfId="9" applyFont="1" applyFill="1" applyBorder="1" applyAlignment="1" applyProtection="1">
      <alignment vertical="center" wrapText="1"/>
      <protection locked="0"/>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0" fontId="4" fillId="0" borderId="0" xfId="0" applyFont="1" applyBorder="1" applyAlignment="1" applyProtection="1">
      <alignment horizontal="left" vertical="center" wrapText="1"/>
    </xf>
    <xf numFmtId="169" fontId="0" fillId="0" borderId="19" xfId="0" applyNumberFormat="1" applyBorder="1" applyAlignment="1" applyProtection="1">
      <alignment vertical="center" wrapText="1"/>
    </xf>
    <xf numFmtId="167" fontId="0" fillId="0" borderId="19" xfId="0" applyNumberFormat="1" applyFill="1" applyBorder="1" applyAlignment="1" applyProtection="1">
      <alignment vertical="center" wrapText="1"/>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0" fillId="0" borderId="21" xfId="0"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9" xfId="0" applyBorder="1" applyAlignment="1" applyProtection="1">
      <alignment horizontal="right" vertical="center" wrapText="1"/>
    </xf>
    <xf numFmtId="0" fontId="0" fillId="0" borderId="0" xfId="0" applyAlignment="1">
      <alignment vertical="center"/>
    </xf>
    <xf numFmtId="0" fontId="0" fillId="0" borderId="19" xfId="0" applyFill="1" applyBorder="1" applyAlignment="1">
      <alignment vertical="center" wrapText="1"/>
    </xf>
    <xf numFmtId="167" fontId="4" fillId="7" borderId="16" xfId="0" applyNumberFormat="1" applyFont="1" applyFill="1" applyBorder="1" applyAlignment="1" applyProtection="1">
      <alignment horizontal="right" vertical="center"/>
    </xf>
    <xf numFmtId="0" fontId="0" fillId="0" borderId="0" xfId="0" applyAlignment="1" applyProtection="1">
      <alignment horizontal="center" vertical="center"/>
      <protection locked="0"/>
    </xf>
    <xf numFmtId="165" fontId="0" fillId="0" borderId="0" xfId="0" applyNumberFormat="1" applyAlignment="1" applyProtection="1">
      <alignment horizontal="left" vertical="center"/>
      <protection locked="0"/>
    </xf>
    <xf numFmtId="0" fontId="0" fillId="0" borderId="0" xfId="0" applyFill="1" applyAlignment="1" applyProtection="1">
      <alignment vertical="center" wrapText="1"/>
      <protection locked="0"/>
    </xf>
    <xf numFmtId="0" fontId="14" fillId="0" borderId="0"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horizontal="left" vertical="center"/>
    </xf>
    <xf numFmtId="0" fontId="7" fillId="0" borderId="0" xfId="0" applyFont="1" applyFill="1" applyAlignment="1" applyProtection="1">
      <alignment vertical="center" wrapText="1"/>
      <protection locked="0"/>
    </xf>
    <xf numFmtId="0" fontId="23" fillId="0" borderId="0" xfId="0" applyFont="1" applyBorder="1" applyAlignment="1">
      <alignment horizontal="left" vertical="center"/>
    </xf>
    <xf numFmtId="0" fontId="0" fillId="0" borderId="0" xfId="0"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Border="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0" fontId="0" fillId="0" borderId="0" xfId="0" applyBorder="1" applyAlignment="1">
      <alignment horizontal="center" vertical="center"/>
    </xf>
    <xf numFmtId="41" fontId="12" fillId="0" borderId="9" xfId="0" applyNumberFormat="1" applyFont="1" applyFill="1" applyBorder="1" applyAlignment="1" applyProtection="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Fill="1" applyBorder="1" applyAlignment="1" applyProtection="1">
      <alignment vertical="center"/>
    </xf>
    <xf numFmtId="41" fontId="12" fillId="0" borderId="10" xfId="0" applyNumberFormat="1" applyFont="1" applyFill="1" applyBorder="1" applyAlignment="1" applyProtection="1">
      <alignment vertical="center"/>
    </xf>
    <xf numFmtId="41" fontId="12" fillId="0" borderId="1" xfId="0" applyNumberFormat="1" applyFont="1" applyFill="1" applyBorder="1" applyAlignment="1" applyProtection="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0" fillId="0" borderId="0" xfId="0" applyBorder="1" applyAlignment="1" applyProtection="1">
      <alignment horizontal="center" vertical="center"/>
      <protection locked="0"/>
    </xf>
    <xf numFmtId="0" fontId="12" fillId="0" borderId="1" xfId="0" applyFont="1" applyFill="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Fill="1" applyBorder="1" applyAlignment="1" applyProtection="1">
      <alignment vertical="center"/>
    </xf>
    <xf numFmtId="41" fontId="12" fillId="0" borderId="4" xfId="0" applyNumberFormat="1" applyFont="1" applyFill="1" applyBorder="1" applyAlignment="1" applyProtection="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Border="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Fill="1"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0" fillId="0" borderId="19" xfId="0" applyBorder="1" applyAlignment="1">
      <alignment horizontal="right" vertical="center" wrapText="1"/>
    </xf>
    <xf numFmtId="0" fontId="0" fillId="0" borderId="19" xfId="0" applyFill="1" applyBorder="1" applyAlignment="1">
      <alignment horizontal="right"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vertical="center" wrapText="1"/>
    </xf>
    <xf numFmtId="167" fontId="4" fillId="7" borderId="16" xfId="0" applyNumberFormat="1" applyFont="1" applyFill="1" applyBorder="1" applyAlignment="1">
      <alignment horizontal="right" vertical="center"/>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167" fontId="0" fillId="0" borderId="19" xfId="0" applyNumberFormat="1" applyFill="1" applyBorder="1" applyAlignment="1">
      <alignment horizontal="right" vertical="center" wrapText="1"/>
    </xf>
    <xf numFmtId="49" fontId="26" fillId="0" borderId="16" xfId="3" applyNumberFormat="1" applyFont="1" applyFill="1" applyBorder="1" applyAlignment="1">
      <alignment horizontal="right" vertical="center" wrapText="1"/>
    </xf>
    <xf numFmtId="49" fontId="26" fillId="0" borderId="19" xfId="3" applyNumberFormat="1" applyFont="1" applyFill="1" applyBorder="1" applyAlignment="1">
      <alignment horizontal="right" vertical="center" wrapText="1"/>
    </xf>
    <xf numFmtId="49" fontId="4" fillId="0" borderId="19" xfId="3" applyNumberFormat="1" applyFont="1" applyFill="1" applyBorder="1" applyAlignment="1">
      <alignment horizontal="right" vertical="center" wrapText="1"/>
    </xf>
    <xf numFmtId="49" fontId="4" fillId="0" borderId="16" xfId="3" applyNumberFormat="1" applyFont="1" applyFill="1" applyBorder="1" applyAlignment="1">
      <alignment horizontal="right" vertical="center" wrapText="1"/>
    </xf>
    <xf numFmtId="1" fontId="0" fillId="0" borderId="16" xfId="0" applyNumberFormat="1" applyFill="1" applyBorder="1" applyAlignment="1">
      <alignment vertical="center" wrapText="1"/>
    </xf>
    <xf numFmtId="167" fontId="0" fillId="0" borderId="16" xfId="0" applyNumberFormat="1" applyFill="1" applyBorder="1" applyAlignment="1">
      <alignment vertical="center" wrapText="1"/>
    </xf>
    <xf numFmtId="167" fontId="4" fillId="0" borderId="16" xfId="0" applyNumberFormat="1" applyFont="1" applyFill="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0"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Fill="1" applyAlignment="1">
      <alignment vertical="center"/>
    </xf>
    <xf numFmtId="0" fontId="21" fillId="0" borderId="0" xfId="10" applyFont="1" applyFill="1" applyAlignment="1">
      <alignment horizontal="center" vertical="center"/>
    </xf>
    <xf numFmtId="0" fontId="42" fillId="0" borderId="0" xfId="0" applyFont="1" applyFill="1" applyAlignment="1">
      <alignment horizontal="center" vertical="center"/>
    </xf>
    <xf numFmtId="0" fontId="0" fillId="0" borderId="0" xfId="0" applyFill="1" applyAlignment="1">
      <alignment horizontal="center" vertical="center"/>
    </xf>
    <xf numFmtId="0" fontId="22" fillId="0" borderId="0" xfId="0" applyFont="1" applyFill="1" applyAlignment="1">
      <alignment horizontal="center" vertical="center"/>
    </xf>
    <xf numFmtId="0" fontId="4" fillId="4" borderId="16" xfId="9" applyFont="1" applyFill="1" applyBorder="1" applyAlignment="1" applyProtection="1">
      <alignment vertical="center" wrapText="1"/>
      <protection locked="0"/>
    </xf>
    <xf numFmtId="10" fontId="0" fillId="0" borderId="16" xfId="0" applyNumberFormat="1" applyFill="1" applyBorder="1" applyAlignment="1" applyProtection="1">
      <alignment horizontal="left" vertical="center" wrapText="1"/>
    </xf>
    <xf numFmtId="0" fontId="0" fillId="8" borderId="19" xfId="0" applyFill="1" applyBorder="1" applyAlignment="1">
      <alignment horizontal="center" vertical="center" wrapText="1"/>
    </xf>
    <xf numFmtId="0" fontId="4" fillId="8" borderId="19" xfId="0" applyFont="1" applyFill="1" applyBorder="1" applyAlignment="1">
      <alignment horizontal="center" vertical="center" wrapText="1"/>
    </xf>
    <xf numFmtId="0" fontId="0" fillId="8" borderId="0" xfId="0" applyFill="1" applyProtection="1"/>
    <xf numFmtId="0" fontId="11" fillId="0" borderId="2" xfId="8" applyFont="1" applyFill="1" applyBorder="1" applyAlignment="1" applyProtection="1">
      <alignment horizontal="center"/>
    </xf>
    <xf numFmtId="0" fontId="16" fillId="0" borderId="0" xfId="2" applyAlignment="1" applyProtection="1">
      <alignment vertical="center"/>
      <protection locked="0"/>
    </xf>
    <xf numFmtId="0" fontId="0" fillId="0" borderId="0" xfId="0" applyAlignment="1">
      <alignment vertical="center"/>
    </xf>
    <xf numFmtId="14" fontId="4" fillId="0" borderId="0" xfId="10" applyNumberFormat="1" applyFont="1" applyAlignment="1">
      <alignment horizontal="left" vertical="center"/>
    </xf>
    <xf numFmtId="0" fontId="4" fillId="0" borderId="0" xfId="9" applyFont="1" applyBorder="1" applyAlignment="1">
      <alignment vertical="center" wrapText="1"/>
    </xf>
    <xf numFmtId="0" fontId="4" fillId="0" borderId="0" xfId="9" applyBorder="1" applyAlignment="1">
      <alignment vertical="center" wrapText="1"/>
    </xf>
    <xf numFmtId="0" fontId="0" fillId="0" borderId="0" xfId="0" applyAlignment="1">
      <alignment vertical="center" wrapText="1"/>
    </xf>
    <xf numFmtId="0" fontId="0" fillId="0" borderId="0" xfId="0" applyFill="1" applyAlignment="1" applyProtection="1">
      <alignment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0" fillId="8" borderId="19" xfId="0" applyFill="1" applyBorder="1" applyAlignment="1">
      <alignment horizontal="right" vertical="center" wrapText="1"/>
    </xf>
    <xf numFmtId="0" fontId="4" fillId="0" borderId="8" xfId="8" applyFill="1" applyBorder="1" applyProtection="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0" borderId="25" xfId="0" applyFont="1" applyFill="1" applyBorder="1" applyAlignment="1" applyProtection="1">
      <alignment horizontal="left" vertical="center" wrapText="1"/>
      <protection locked="0"/>
    </xf>
    <xf numFmtId="0" fontId="4" fillId="0" borderId="0" xfId="0" applyFont="1" applyFill="1" applyBorder="1" applyAlignment="1">
      <alignment vertical="center"/>
    </xf>
    <xf numFmtId="0" fontId="4" fillId="0" borderId="0" xfId="0" applyFont="1" applyFill="1" applyBorder="1" applyAlignment="1" applyProtection="1">
      <alignment vertical="center" wrapText="1"/>
      <protection locked="0"/>
    </xf>
    <xf numFmtId="0" fontId="0" fillId="0" borderId="0" xfId="0" applyAlignment="1">
      <alignment vertical="center"/>
    </xf>
    <xf numFmtId="0" fontId="4" fillId="4" borderId="19" xfId="0" applyFont="1" applyFill="1" applyBorder="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0" fillId="0" borderId="0" xfId="0" applyAlignment="1">
      <alignment vertical="center"/>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Border="1" applyAlignment="1">
      <alignment horizontal="left" vertical="center" wrapText="1"/>
    </xf>
    <xf numFmtId="0" fontId="0" fillId="0" borderId="0" xfId="0" applyAlignment="1">
      <alignment vertical="center" wrapText="1"/>
    </xf>
    <xf numFmtId="0" fontId="6" fillId="0" borderId="16" xfId="0" applyFont="1" applyBorder="1" applyAlignment="1">
      <alignment vertical="center" wrapText="1"/>
    </xf>
    <xf numFmtId="0" fontId="0" fillId="0" borderId="0" xfId="0" applyAlignment="1">
      <alignment vertical="center"/>
    </xf>
    <xf numFmtId="0" fontId="0" fillId="4" borderId="16" xfId="0" applyFill="1" applyBorder="1" applyAlignment="1" applyProtection="1">
      <alignment vertical="center" wrapText="1"/>
      <protection locked="0"/>
    </xf>
    <xf numFmtId="0" fontId="0" fillId="0" borderId="0" xfId="0"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0" fontId="0" fillId="0" borderId="0" xfId="0" applyFill="1" applyAlignment="1">
      <alignment vertical="center" wrapText="1"/>
    </xf>
    <xf numFmtId="0" fontId="4" fillId="0" borderId="0" xfId="9" applyFill="1" applyAlignment="1">
      <alignment vertical="center" wrapText="1"/>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Fill="1" applyAlignment="1">
      <alignment horizontal="right" vertical="center"/>
    </xf>
    <xf numFmtId="0" fontId="8" fillId="0" borderId="0" xfId="9" applyFont="1" applyFill="1" applyAlignment="1">
      <alignment horizontal="right" vertical="center"/>
    </xf>
    <xf numFmtId="0" fontId="8" fillId="0" borderId="0" xfId="9" applyFont="1" applyFill="1" applyAlignment="1">
      <alignment horizontal="center" vertical="center"/>
    </xf>
    <xf numFmtId="0" fontId="46" fillId="0" borderId="0" xfId="9" applyFont="1" applyFill="1" applyAlignment="1">
      <alignment horizontal="center" vertical="center" wrapText="1"/>
    </xf>
    <xf numFmtId="0" fontId="46" fillId="0" borderId="0" xfId="9" applyFont="1" applyFill="1" applyAlignment="1">
      <alignment horizontal="center" vertical="center"/>
    </xf>
    <xf numFmtId="38" fontId="26" fillId="0" borderId="0" xfId="9" applyNumberFormat="1" applyFont="1" applyFill="1" applyAlignment="1">
      <alignment vertical="center"/>
    </xf>
    <xf numFmtId="0" fontId="26" fillId="0" borderId="0" xfId="9" applyFont="1" applyFill="1"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0" fontId="0" fillId="0" borderId="0" xfId="0" applyBorder="1" applyAlignment="1" applyProtection="1">
      <alignment horizontal="right" vertical="center" wrapText="1"/>
      <protection locked="0"/>
    </xf>
    <xf numFmtId="43" fontId="26" fillId="0" borderId="0" xfId="0" applyNumberFormat="1" applyFont="1" applyFill="1" applyBorder="1" applyAlignment="1">
      <alignment vertical="center" wrapText="1"/>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vertical="center" wrapText="1"/>
    </xf>
    <xf numFmtId="41" fontId="0" fillId="0" borderId="0" xfId="0" applyNumberFormat="1" applyBorder="1" applyAlignment="1">
      <alignment horizontal="right" vertical="center" wrapText="1"/>
    </xf>
    <xf numFmtId="37" fontId="0" fillId="0" borderId="0" xfId="0" applyNumberFormat="1" applyBorder="1" applyAlignment="1">
      <alignment horizontal="left" vertical="center" wrapText="1"/>
    </xf>
    <xf numFmtId="0" fontId="4" fillId="0" borderId="0" xfId="0" applyFont="1" applyBorder="1" applyAlignment="1">
      <alignment vertical="center" wrapText="1"/>
    </xf>
    <xf numFmtId="0" fontId="22" fillId="0" borderId="0" xfId="10" applyFont="1" applyAlignment="1" applyProtection="1">
      <alignment horizontal="left" vertical="center"/>
      <protection locked="0"/>
    </xf>
    <xf numFmtId="0" fontId="4" fillId="0" borderId="0" xfId="0" applyFont="1" applyFill="1" applyAlignment="1" applyProtection="1">
      <alignment vertical="center" wrapText="1"/>
    </xf>
    <xf numFmtId="0" fontId="47" fillId="0" borderId="0" xfId="9" applyFont="1" applyFill="1" applyAlignment="1">
      <alignment horizontal="right" vertical="center"/>
    </xf>
    <xf numFmtId="0" fontId="47" fillId="0" borderId="0" xfId="9" applyFont="1" applyFill="1" applyAlignment="1">
      <alignment horizontal="left" vertical="center"/>
    </xf>
    <xf numFmtId="0" fontId="6" fillId="0" borderId="0" xfId="9" applyFont="1" applyFill="1" applyAlignment="1">
      <alignment horizontal="left" vertical="center"/>
    </xf>
    <xf numFmtId="41" fontId="0" fillId="0" borderId="46" xfId="0" applyNumberFormat="1" applyBorder="1" applyAlignment="1">
      <alignment vertical="center" wrapText="1"/>
    </xf>
    <xf numFmtId="0" fontId="34" fillId="0" borderId="0" xfId="9" applyFont="1" applyFill="1" applyAlignment="1">
      <alignment horizontal="left" vertical="center"/>
    </xf>
    <xf numFmtId="14" fontId="37" fillId="0" borderId="0" xfId="10" applyNumberFormat="1" applyFont="1" applyFill="1" applyAlignment="1">
      <alignment vertical="center"/>
    </xf>
    <xf numFmtId="0" fontId="4" fillId="0" borderId="0" xfId="9" applyFill="1" applyAlignment="1">
      <alignment horizontal="center" vertical="center" wrapText="1"/>
    </xf>
    <xf numFmtId="0" fontId="6" fillId="0" borderId="0" xfId="9" applyFont="1" applyFill="1" applyAlignment="1">
      <alignment horizontal="right" vertical="center" wrapText="1"/>
    </xf>
    <xf numFmtId="2" fontId="26" fillId="0" borderId="0" xfId="9" applyNumberFormat="1" applyFont="1" applyFill="1" applyBorder="1" applyAlignment="1">
      <alignment horizontal="center" vertical="center"/>
    </xf>
    <xf numFmtId="164" fontId="26" fillId="0" borderId="43" xfId="9" applyNumberFormat="1" applyFont="1" applyFill="1" applyBorder="1" applyAlignment="1">
      <alignment vertical="center"/>
    </xf>
    <xf numFmtId="166" fontId="26" fillId="4" borderId="48" xfId="9" applyNumberFormat="1" applyFont="1" applyFill="1" applyBorder="1" applyAlignment="1" applyProtection="1">
      <alignment vertical="center"/>
      <protection locked="0"/>
    </xf>
    <xf numFmtId="2" fontId="26" fillId="0" borderId="6" xfId="9" applyNumberFormat="1" applyFont="1" applyFill="1" applyBorder="1" applyAlignment="1">
      <alignment horizontal="center" vertical="center"/>
    </xf>
    <xf numFmtId="165" fontId="26" fillId="4" borderId="49" xfId="9" applyNumberFormat="1" applyFont="1" applyFill="1" applyBorder="1" applyAlignment="1" applyProtection="1">
      <alignment vertical="center"/>
      <protection locked="0"/>
    </xf>
    <xf numFmtId="166" fontId="26" fillId="0" borderId="49" xfId="9" applyNumberFormat="1" applyFont="1" applyFill="1" applyBorder="1" applyAlignment="1" applyProtection="1">
      <alignment vertical="center"/>
      <protection locked="0"/>
    </xf>
    <xf numFmtId="165" fontId="26" fillId="0" borderId="49" xfId="9" applyNumberFormat="1" applyFont="1" applyFill="1" applyBorder="1" applyAlignment="1" applyProtection="1">
      <alignment vertical="center"/>
      <protection locked="0"/>
    </xf>
    <xf numFmtId="0" fontId="4" fillId="0" borderId="0" xfId="9" applyFill="1" applyAlignment="1">
      <alignment horizontal="left" vertical="center" wrapText="1"/>
    </xf>
    <xf numFmtId="0" fontId="4" fillId="0" borderId="43" xfId="9" applyFill="1" applyBorder="1" applyAlignment="1">
      <alignment horizontal="right" vertical="center" wrapText="1"/>
    </xf>
    <xf numFmtId="0" fontId="0" fillId="4" borderId="16" xfId="0" applyFill="1" applyBorder="1" applyAlignment="1" applyProtection="1">
      <alignment vertical="center" wrapText="1"/>
      <protection locked="0"/>
    </xf>
    <xf numFmtId="0" fontId="0" fillId="0" borderId="0" xfId="0" applyAlignment="1">
      <alignment vertical="top"/>
    </xf>
    <xf numFmtId="0" fontId="4" fillId="0" borderId="0" xfId="9" applyFill="1" applyAlignment="1">
      <alignment horizontal="center"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Fill="1" applyBorder="1" applyAlignment="1" applyProtection="1">
      <alignment horizontal="center" vertical="center"/>
      <protection locked="0"/>
    </xf>
    <xf numFmtId="41" fontId="4" fillId="0" borderId="0" xfId="9" applyNumberForma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41" fontId="4" fillId="0" borderId="0" xfId="1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164" fontId="0" fillId="31" borderId="0" xfId="0" applyNumberFormat="1" applyFill="1" applyBorder="1" applyAlignment="1">
      <alignment horizontal="right" vertical="center"/>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0" fontId="49" fillId="0" borderId="0" xfId="0" applyFont="1" applyFill="1" applyAlignment="1">
      <alignment horizontal="left" vertical="center"/>
    </xf>
    <xf numFmtId="0" fontId="0" fillId="0" borderId="0" xfId="0" applyFill="1" applyAlignment="1">
      <alignment horizontal="left" vertical="top"/>
    </xf>
    <xf numFmtId="3" fontId="0" fillId="0" borderId="0" xfId="0" applyNumberFormat="1" applyFill="1" applyAlignment="1">
      <alignment horizontal="left" vertical="top"/>
    </xf>
    <xf numFmtId="0" fontId="6" fillId="0" borderId="0" xfId="0" applyFont="1" applyFill="1" applyAlignment="1">
      <alignment horizontal="center" wrapText="1"/>
    </xf>
    <xf numFmtId="14" fontId="0" fillId="0" borderId="0" xfId="0" applyNumberFormat="1" applyFill="1" applyAlignment="1">
      <alignment horizontal="right" vertical="center"/>
    </xf>
    <xf numFmtId="164"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25" xfId="0" applyNumberFormat="1" applyFill="1" applyBorder="1" applyAlignment="1">
      <alignment horizontal="right" vertical="center"/>
    </xf>
    <xf numFmtId="164" fontId="6" fillId="0" borderId="0" xfId="0" applyNumberFormat="1" applyFont="1" applyFill="1" applyAlignment="1">
      <alignment horizontal="right" vertical="center"/>
    </xf>
    <xf numFmtId="0" fontId="0" fillId="0" borderId="0" xfId="0" applyFill="1" applyAlignment="1">
      <alignment horizontal="left" vertical="center"/>
    </xf>
    <xf numFmtId="0" fontId="0" fillId="0" borderId="0" xfId="0" applyFill="1" applyAlignment="1">
      <alignment horizontal="left"/>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4" fillId="0" borderId="0" xfId="0" applyFont="1" applyFill="1" applyAlignment="1">
      <alignment horizontal="right" vertical="center"/>
    </xf>
    <xf numFmtId="9" fontId="0" fillId="0" borderId="0" xfId="47"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right" vertical="center"/>
    </xf>
    <xf numFmtId="0" fontId="50" fillId="0" borderId="0" xfId="0" applyFont="1" applyAlignment="1" applyProtection="1">
      <alignment vertical="center"/>
      <protection locked="0"/>
    </xf>
    <xf numFmtId="0" fontId="4" fillId="0" borderId="0" xfId="9" applyFont="1" applyFill="1" applyAlignment="1">
      <alignment vertical="center" wrapText="1"/>
    </xf>
    <xf numFmtId="0" fontId="0" fillId="4" borderId="0" xfId="0" applyFill="1" applyAlignment="1" applyProtection="1">
      <alignment vertical="top" wrapText="1"/>
      <protection locked="0"/>
    </xf>
    <xf numFmtId="0" fontId="4" fillId="4" borderId="16" xfId="9" applyFont="1" applyFill="1" applyBorder="1" applyAlignment="1" applyProtection="1">
      <alignment vertical="center" wrapText="1"/>
      <protection locked="0"/>
    </xf>
    <xf numFmtId="165" fontId="0" fillId="4" borderId="16" xfId="0" applyNumberFormat="1" applyFill="1" applyBorder="1" applyAlignment="1" applyProtection="1">
      <alignment vertical="center"/>
      <protection locked="0"/>
    </xf>
    <xf numFmtId="164" fontId="26" fillId="0" borderId="0" xfId="9" applyNumberFormat="1" applyFont="1" applyFill="1" applyBorder="1" applyAlignment="1">
      <alignment vertical="center"/>
    </xf>
    <xf numFmtId="0" fontId="8" fillId="36" borderId="51" xfId="0" applyFont="1" applyFill="1" applyBorder="1" applyAlignment="1" applyProtection="1">
      <alignment horizontal="left" vertical="center"/>
      <protection locked="0"/>
    </xf>
    <xf numFmtId="0" fontId="4" fillId="0" borderId="0" xfId="9" applyFont="1" applyFill="1" applyAlignment="1">
      <alignment horizontal="center" vertical="center"/>
    </xf>
    <xf numFmtId="0" fontId="6" fillId="4" borderId="52" xfId="9" applyFont="1" applyFill="1" applyBorder="1" applyAlignment="1" applyProtection="1">
      <alignment horizontal="right" vertical="center" wrapText="1"/>
      <protection locked="0"/>
    </xf>
    <xf numFmtId="0" fontId="4" fillId="4" borderId="52" xfId="9" applyFill="1" applyBorder="1" applyAlignment="1" applyProtection="1">
      <alignment horizontal="center" vertical="center" wrapText="1"/>
      <protection locked="0"/>
    </xf>
    <xf numFmtId="14" fontId="0" fillId="4" borderId="0" xfId="0" applyNumberFormat="1" applyFill="1" applyAlignment="1" applyProtection="1">
      <alignment horizontal="right" vertical="center"/>
      <protection locked="0"/>
    </xf>
    <xf numFmtId="0" fontId="4" fillId="4" borderId="53" xfId="9" applyFill="1" applyBorder="1" applyAlignment="1" applyProtection="1">
      <alignment horizontal="left" vertical="center" wrapText="1"/>
      <protection locked="0"/>
    </xf>
    <xf numFmtId="0" fontId="51" fillId="0" borderId="0" xfId="10" applyFont="1" applyFill="1"/>
    <xf numFmtId="0" fontId="0" fillId="0" borderId="0" xfId="0" applyAlignment="1">
      <alignment vertical="center"/>
    </xf>
    <xf numFmtId="174" fontId="4" fillId="0" borderId="0" xfId="9" applyNumberFormat="1" applyFill="1" applyAlignment="1">
      <alignment vertical="center"/>
    </xf>
    <xf numFmtId="0" fontId="13" fillId="31" borderId="2" xfId="0" applyFont="1" applyFill="1" applyBorder="1" applyAlignment="1">
      <alignment horizontal="center" vertical="center" wrapText="1"/>
    </xf>
    <xf numFmtId="0" fontId="11" fillId="31" borderId="0" xfId="0" applyFont="1" applyFill="1" applyBorder="1" applyAlignment="1">
      <alignment horizontal="center" vertical="center"/>
    </xf>
    <xf numFmtId="41" fontId="12" fillId="31" borderId="8" xfId="0" applyNumberFormat="1" applyFont="1" applyFill="1" applyBorder="1" applyAlignment="1" applyProtection="1">
      <alignment vertical="center"/>
    </xf>
    <xf numFmtId="0" fontId="11" fillId="31" borderId="2" xfId="0" applyFont="1" applyFill="1" applyBorder="1" applyAlignment="1">
      <alignment horizontal="center" vertical="center"/>
    </xf>
    <xf numFmtId="175" fontId="12" fillId="31" borderId="9" xfId="0" applyNumberFormat="1" applyFont="1" applyFill="1" applyBorder="1" applyAlignment="1" applyProtection="1">
      <alignment vertical="center"/>
    </xf>
    <xf numFmtId="43" fontId="12" fillId="31" borderId="1" xfId="0" applyNumberFormat="1" applyFont="1" applyFill="1" applyBorder="1" applyAlignment="1" applyProtection="1">
      <alignment vertical="center"/>
    </xf>
    <xf numFmtId="41" fontId="12" fillId="31" borderId="1" xfId="0" applyNumberFormat="1" applyFont="1" applyFill="1" applyBorder="1" applyAlignment="1" applyProtection="1">
      <alignment vertical="center"/>
    </xf>
    <xf numFmtId="0" fontId="0" fillId="31" borderId="0" xfId="0" applyFill="1" applyBorder="1" applyAlignment="1">
      <alignment horizontal="center" vertical="center"/>
    </xf>
    <xf numFmtId="43" fontId="12" fillId="31" borderId="8" xfId="0" applyNumberFormat="1" applyFont="1" applyFill="1" applyBorder="1" applyAlignment="1" applyProtection="1">
      <alignment vertical="center"/>
    </xf>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wrapText="1"/>
    </xf>
    <xf numFmtId="0" fontId="4" fillId="0" borderId="0" xfId="0" applyFont="1" applyAlignment="1">
      <alignment horizontal="left" vertical="center" wrapText="1"/>
    </xf>
    <xf numFmtId="0" fontId="0" fillId="0" borderId="0" xfId="0" applyAlignment="1">
      <alignment vertical="center"/>
    </xf>
    <xf numFmtId="0" fontId="4" fillId="0" borderId="0" xfId="0" applyFont="1" applyAlignment="1">
      <alignment horizontal="left" vertical="center"/>
    </xf>
    <xf numFmtId="0" fontId="0" fillId="0" borderId="0" xfId="0" applyAlignment="1">
      <alignment vertical="top"/>
    </xf>
    <xf numFmtId="166" fontId="4" fillId="0" borderId="0" xfId="9" applyNumberFormat="1" applyFill="1" applyBorder="1" applyAlignment="1" applyProtection="1">
      <alignment vertical="center"/>
      <protection locked="0"/>
    </xf>
    <xf numFmtId="165" fontId="4" fillId="0" borderId="0" xfId="9" applyNumberFormat="1" applyFill="1" applyBorder="1" applyAlignment="1" applyProtection="1">
      <alignment vertical="center"/>
      <protection locked="0"/>
    </xf>
    <xf numFmtId="166" fontId="26" fillId="0" borderId="0" xfId="9" applyNumberFormat="1" applyFont="1" applyFill="1" applyBorder="1" applyAlignment="1" applyProtection="1">
      <alignment vertical="center"/>
      <protection locked="0"/>
    </xf>
    <xf numFmtId="165" fontId="26" fillId="0" borderId="0" xfId="9" applyNumberFormat="1" applyFont="1" applyFill="1" applyBorder="1" applyAlignment="1" applyProtection="1">
      <alignment vertical="center"/>
      <protection locked="0"/>
    </xf>
    <xf numFmtId="0" fontId="26" fillId="0" borderId="0" xfId="9" applyFont="1" applyFill="1" applyBorder="1" applyAlignment="1">
      <alignment vertical="center"/>
    </xf>
    <xf numFmtId="166" fontId="26" fillId="0" borderId="55" xfId="9" applyNumberFormat="1" applyFont="1" applyFill="1" applyBorder="1" applyAlignment="1" applyProtection="1">
      <alignment vertical="center"/>
      <protection locked="0"/>
    </xf>
    <xf numFmtId="166" fontId="4" fillId="0" borderId="55" xfId="9" applyNumberFormat="1" applyFill="1" applyBorder="1" applyAlignment="1" applyProtection="1">
      <alignment vertical="center"/>
      <protection locked="0"/>
    </xf>
    <xf numFmtId="2" fontId="26" fillId="0" borderId="55" xfId="9" applyNumberFormat="1" applyFont="1" applyFill="1" applyBorder="1" applyAlignment="1">
      <alignment horizontal="center" vertical="center"/>
    </xf>
    <xf numFmtId="165" fontId="4" fillId="0" borderId="55" xfId="9" applyNumberFormat="1" applyFill="1" applyBorder="1" applyAlignment="1" applyProtection="1">
      <alignment vertical="center"/>
      <protection locked="0"/>
    </xf>
    <xf numFmtId="164" fontId="26" fillId="35" borderId="56" xfId="9" applyNumberFormat="1" applyFont="1" applyFill="1" applyBorder="1" applyAlignment="1">
      <alignment vertical="center"/>
    </xf>
    <xf numFmtId="164" fontId="26" fillId="38" borderId="43" xfId="9" applyNumberFormat="1" applyFont="1" applyFill="1" applyBorder="1" applyAlignment="1">
      <alignment vertical="center"/>
    </xf>
    <xf numFmtId="166" fontId="4" fillId="0" borderId="13" xfId="9" applyNumberFormat="1" applyFill="1" applyBorder="1" applyAlignment="1" applyProtection="1">
      <alignment vertical="center"/>
      <protection locked="0"/>
    </xf>
    <xf numFmtId="2" fontId="26" fillId="0" borderId="13" xfId="9" applyNumberFormat="1" applyFont="1" applyFill="1" applyBorder="1" applyAlignment="1">
      <alignment horizontal="center" vertical="center"/>
    </xf>
    <xf numFmtId="165" fontId="4" fillId="0" borderId="13" xfId="9" applyNumberFormat="1" applyFill="1" applyBorder="1" applyAlignment="1" applyProtection="1">
      <alignment vertical="center"/>
      <protection locked="0"/>
    </xf>
    <xf numFmtId="165" fontId="26" fillId="0" borderId="55" xfId="9" applyNumberFormat="1" applyFont="1" applyFill="1" applyBorder="1" applyAlignment="1" applyProtection="1">
      <alignment vertical="center"/>
      <protection locked="0"/>
    </xf>
    <xf numFmtId="166" fontId="26" fillId="0" borderId="13" xfId="9" applyNumberFormat="1" applyFont="1" applyFill="1" applyBorder="1" applyAlignment="1" applyProtection="1">
      <alignment vertical="center"/>
      <protection locked="0"/>
    </xf>
    <xf numFmtId="165" fontId="26" fillId="0" borderId="13" xfId="9" applyNumberFormat="1" applyFont="1" applyFill="1" applyBorder="1" applyAlignment="1" applyProtection="1">
      <alignment vertical="center"/>
      <protection locked="0"/>
    </xf>
    <xf numFmtId="164" fontId="52" fillId="0" borderId="14" xfId="9" applyNumberFormat="1" applyFont="1" applyFill="1" applyBorder="1" applyAlignment="1">
      <alignment vertical="center"/>
    </xf>
    <xf numFmtId="0" fontId="52" fillId="0" borderId="0" xfId="9" applyFont="1" applyFill="1" applyAlignment="1">
      <alignment vertical="center"/>
    </xf>
    <xf numFmtId="164" fontId="52" fillId="0" borderId="59" xfId="9" applyNumberFormat="1" applyFont="1" applyFill="1" applyBorder="1" applyAlignment="1">
      <alignment vertical="center"/>
    </xf>
    <xf numFmtId="0" fontId="4" fillId="0" borderId="0" xfId="9" applyFill="1" applyAlignment="1">
      <alignment horizontal="left" vertical="center"/>
    </xf>
    <xf numFmtId="3" fontId="4" fillId="0" borderId="0" xfId="9" applyNumberFormat="1" applyFill="1" applyAlignment="1">
      <alignment vertical="center"/>
    </xf>
    <xf numFmtId="3" fontId="26" fillId="0" borderId="50" xfId="9" applyNumberFormat="1" applyFont="1" applyFill="1" applyBorder="1" applyAlignment="1" applyProtection="1">
      <alignment vertical="center"/>
      <protection locked="0"/>
    </xf>
    <xf numFmtId="3" fontId="26" fillId="0" borderId="54" xfId="9" applyNumberFormat="1" applyFont="1" applyFill="1" applyBorder="1" applyAlignment="1" applyProtection="1">
      <alignment vertical="center"/>
      <protection locked="0"/>
    </xf>
    <xf numFmtId="3" fontId="26" fillId="0" borderId="57" xfId="9" applyNumberFormat="1" applyFont="1" applyFill="1" applyBorder="1" applyAlignment="1" applyProtection="1">
      <alignment vertical="center"/>
      <protection locked="0"/>
    </xf>
    <xf numFmtId="3" fontId="4" fillId="35" borderId="57" xfId="9" applyNumberFormat="1" applyFill="1" applyBorder="1" applyAlignment="1" applyProtection="1">
      <alignment vertical="center"/>
      <protection locked="0"/>
    </xf>
    <xf numFmtId="3" fontId="4" fillId="0" borderId="57" xfId="9" applyNumberFormat="1" applyFill="1" applyBorder="1" applyAlignment="1" applyProtection="1">
      <alignment vertical="center"/>
      <protection locked="0"/>
    </xf>
    <xf numFmtId="3" fontId="4" fillId="38" borderId="58" xfId="9" applyNumberFormat="1" applyFill="1" applyBorder="1" applyAlignment="1" applyProtection="1">
      <alignment vertical="center"/>
      <protection locked="0"/>
    </xf>
    <xf numFmtId="3" fontId="4" fillId="0" borderId="0" xfId="9" applyNumberFormat="1" applyFill="1" applyBorder="1" applyAlignment="1">
      <alignment vertical="center"/>
    </xf>
    <xf numFmtId="3" fontId="26" fillId="4" borderId="47" xfId="9" applyNumberFormat="1" applyFont="1" applyFill="1" applyBorder="1" applyAlignment="1" applyProtection="1">
      <alignment vertical="center"/>
      <protection locked="0"/>
    </xf>
    <xf numFmtId="3" fontId="4" fillId="0" borderId="54" xfId="9" applyNumberFormat="1" applyFill="1" applyBorder="1" applyAlignment="1" applyProtection="1">
      <alignment vertical="center"/>
      <protection locked="0"/>
    </xf>
    <xf numFmtId="0" fontId="4" fillId="0" borderId="0" xfId="0" applyFont="1" applyFill="1" applyAlignment="1">
      <alignment horizontal="left" vertical="center"/>
    </xf>
    <xf numFmtId="166" fontId="0" fillId="0" borderId="0" xfId="0" applyNumberFormat="1" applyAlignment="1">
      <alignment horizontal="left" vertical="center"/>
    </xf>
    <xf numFmtId="165" fontId="0" fillId="31" borderId="0" xfId="0" applyNumberFormat="1" applyFill="1" applyAlignment="1">
      <alignment horizontal="right" vertical="center"/>
    </xf>
    <xf numFmtId="166" fontId="0" fillId="0" borderId="0" xfId="0" applyNumberFormat="1" applyAlignment="1">
      <alignment horizontal="center" vertical="center"/>
    </xf>
    <xf numFmtId="166" fontId="4" fillId="0" borderId="0" xfId="0" applyNumberFormat="1" applyFont="1" applyAlignment="1">
      <alignment horizontal="left" vertical="center"/>
    </xf>
    <xf numFmtId="0" fontId="49" fillId="0" borderId="0" xfId="0" applyFont="1" applyFill="1" applyAlignment="1">
      <alignment vertical="center"/>
    </xf>
    <xf numFmtId="0" fontId="4" fillId="0" borderId="0" xfId="0" applyFont="1" applyFill="1" applyAlignment="1">
      <alignment horizontal="right" wrapText="1"/>
    </xf>
    <xf numFmtId="0" fontId="6" fillId="0" borderId="0" xfId="0" applyFont="1" applyFill="1" applyAlignment="1">
      <alignment horizontal="center"/>
    </xf>
    <xf numFmtId="165" fontId="0" fillId="0" borderId="0" xfId="0" applyNumberFormat="1" applyFill="1" applyAlignment="1">
      <alignment horizontal="right" vertical="center"/>
    </xf>
    <xf numFmtId="164" fontId="6" fillId="0" borderId="0" xfId="0" applyNumberFormat="1" applyFont="1" applyFill="1" applyAlignment="1">
      <alignment vertical="center"/>
    </xf>
    <xf numFmtId="164" fontId="0" fillId="0" borderId="60" xfId="0" applyNumberFormat="1" applyFill="1" applyBorder="1" applyAlignment="1">
      <alignment horizontal="right" vertical="center"/>
    </xf>
    <xf numFmtId="164" fontId="0" fillId="31" borderId="60" xfId="0" applyNumberFormat="1" applyFill="1" applyBorder="1" applyAlignment="1">
      <alignment horizontal="right" vertical="center"/>
    </xf>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horizontal="left" vertical="center" wrapText="1"/>
    </xf>
    <xf numFmtId="0" fontId="0" fillId="0" borderId="0" xfId="0" applyAlignment="1">
      <alignment vertical="center" wrapText="1"/>
    </xf>
    <xf numFmtId="0" fontId="6" fillId="31" borderId="0" xfId="0" applyFont="1" applyFill="1" applyAlignment="1">
      <alignment horizontal="left" wrapText="1"/>
    </xf>
    <xf numFmtId="0" fontId="6" fillId="0" borderId="0" xfId="0" applyFont="1" applyAlignment="1">
      <alignment horizontal="left" wrapText="1"/>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pplyProtection="1">
      <alignment horizontal="center"/>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pplyProtection="1">
      <alignment horizontal="center" wrapText="1"/>
    </xf>
    <xf numFmtId="0" fontId="0" fillId="0" borderId="35" xfId="0" applyBorder="1" applyAlignment="1">
      <alignment horizontal="center" wrapText="1"/>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2" fillId="0" borderId="3" xfId="0" applyFont="1" applyBorder="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7" fillId="0" borderId="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4" fillId="0" borderId="0" xfId="0" applyFont="1" applyBorder="1" applyAlignment="1">
      <alignment horizontal="left" vertical="center"/>
    </xf>
    <xf numFmtId="14" fontId="7" fillId="0" borderId="0" xfId="0" applyNumberFormat="1" applyFont="1" applyAlignment="1">
      <alignment horizontal="left" vertical="center"/>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1" fillId="0" borderId="2" xfId="0" applyFont="1" applyBorder="1" applyAlignment="1">
      <alignment horizontal="center" vertical="center"/>
    </xf>
    <xf numFmtId="0" fontId="12" fillId="0" borderId="7" xfId="0" applyFont="1" applyBorder="1" applyAlignment="1">
      <alignment horizontal="left" vertical="center"/>
    </xf>
    <xf numFmtId="0" fontId="0" fillId="0" borderId="24" xfId="0" applyBorder="1" applyAlignment="1">
      <alignment vertical="center"/>
    </xf>
    <xf numFmtId="0" fontId="6" fillId="0" borderId="6" xfId="0" applyFont="1" applyBorder="1" applyAlignment="1">
      <alignment vertical="center"/>
    </xf>
    <xf numFmtId="0" fontId="6" fillId="0" borderId="14" xfId="0" applyFont="1" applyBorder="1" applyAlignment="1">
      <alignment vertical="center"/>
    </xf>
    <xf numFmtId="0" fontId="12" fillId="0" borderId="1" xfId="0" applyFont="1" applyBorder="1" applyAlignment="1">
      <alignment horizontal="left" vertical="center"/>
    </xf>
    <xf numFmtId="0" fontId="12" fillId="2" borderId="1" xfId="0" applyFont="1" applyFill="1" applyBorder="1" applyAlignment="1" applyProtection="1">
      <alignment horizontal="left" vertical="center"/>
      <protection locked="0"/>
    </xf>
    <xf numFmtId="0" fontId="17" fillId="0" borderId="4" xfId="0" applyFont="1" applyBorder="1" applyAlignment="1">
      <alignment horizontal="left" vertical="center"/>
    </xf>
    <xf numFmtId="0" fontId="6" fillId="0" borderId="0" xfId="0" applyFont="1" applyBorder="1" applyAlignment="1">
      <alignment vertical="center"/>
    </xf>
    <xf numFmtId="0" fontId="13" fillId="0" borderId="0" xfId="0" applyFont="1" applyBorder="1" applyAlignment="1">
      <alignment horizontal="center" vertical="center" wrapText="1"/>
    </xf>
    <xf numFmtId="0" fontId="0" fillId="0" borderId="2" xfId="0" applyBorder="1" applyAlignment="1">
      <alignment vertical="center" wrapText="1"/>
    </xf>
    <xf numFmtId="0" fontId="12" fillId="0" borderId="4" xfId="0" applyFont="1" applyBorder="1" applyAlignment="1">
      <alignment horizontal="left" vertical="center"/>
    </xf>
    <xf numFmtId="0" fontId="12" fillId="0" borderId="23" xfId="0" applyFont="1" applyBorder="1" applyAlignment="1">
      <alignment horizontal="lef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4" fillId="4" borderId="16" xfId="9" applyFont="1" applyFill="1" applyBorder="1" applyAlignment="1" applyProtection="1">
      <alignment horizontal="left" vertical="center" wrapText="1"/>
      <protection locked="0"/>
    </xf>
    <xf numFmtId="0" fontId="4" fillId="4" borderId="16" xfId="9" applyFont="1"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Font="1" applyFill="1" applyBorder="1"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Font="1" applyBorder="1" applyAlignment="1">
      <alignment horizontal="left" vertical="center" wrapText="1"/>
    </xf>
    <xf numFmtId="0" fontId="4" fillId="0" borderId="0" xfId="10" applyBorder="1"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0" xfId="9" applyFont="1" applyFill="1" applyAlignment="1">
      <alignment vertical="center" wrapText="1"/>
    </xf>
    <xf numFmtId="0" fontId="4" fillId="0" borderId="29" xfId="9" applyBorder="1" applyAlignment="1">
      <alignment vertical="center" wrapText="1"/>
    </xf>
    <xf numFmtId="0" fontId="4" fillId="0" borderId="0" xfId="9" applyFont="1" applyBorder="1" applyAlignment="1">
      <alignment vertical="center" wrapText="1"/>
    </xf>
    <xf numFmtId="0" fontId="4" fillId="0" borderId="0" xfId="9" applyBorder="1" applyAlignment="1">
      <alignment vertical="center" wrapText="1"/>
    </xf>
    <xf numFmtId="0" fontId="4" fillId="4" borderId="32" xfId="9" applyFont="1" applyFill="1" applyBorder="1" applyAlignment="1" applyProtection="1">
      <alignment horizontal="left" vertical="center" wrapText="1"/>
      <protection locked="0"/>
    </xf>
    <xf numFmtId="0" fontId="4" fillId="4" borderId="33" xfId="9" applyFont="1" applyFill="1" applyBorder="1" applyAlignment="1" applyProtection="1">
      <alignment horizontal="left" vertical="center" wrapText="1"/>
      <protection locked="0"/>
    </xf>
    <xf numFmtId="0" fontId="4" fillId="4" borderId="21" xfId="9" applyFont="1" applyFill="1" applyBorder="1" applyAlignment="1" applyProtection="1">
      <alignment horizontal="left" vertical="center" wrapText="1"/>
      <protection locked="0"/>
    </xf>
    <xf numFmtId="0" fontId="4" fillId="4" borderId="30" xfId="9" applyFont="1" applyFill="1" applyBorder="1" applyAlignment="1" applyProtection="1">
      <alignment horizontal="left" vertical="center" wrapText="1"/>
      <protection locked="0"/>
    </xf>
    <xf numFmtId="0" fontId="4" fillId="4" borderId="31" xfId="9" applyFont="1" applyFill="1" applyBorder="1" applyAlignment="1" applyProtection="1">
      <alignment horizontal="left" vertical="center" wrapText="1"/>
      <protection locked="0"/>
    </xf>
    <xf numFmtId="0" fontId="4" fillId="4" borderId="34" xfId="9" applyFont="1"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applyFill="1" applyAlignment="1"/>
    <xf numFmtId="0" fontId="6" fillId="0" borderId="16" xfId="0" applyFont="1" applyBorder="1" applyAlignment="1">
      <alignment vertical="center" wrapText="1"/>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Fill="1" applyBorder="1" applyAlignment="1">
      <alignment vertical="center"/>
    </xf>
    <xf numFmtId="0" fontId="6" fillId="0" borderId="16" xfId="0" applyFont="1" applyBorder="1" applyAlignment="1">
      <alignment horizontal="center" vertical="center"/>
    </xf>
    <xf numFmtId="0" fontId="4"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4" fillId="7" borderId="25" xfId="0" applyFont="1" applyFill="1" applyBorder="1" applyAlignment="1" applyProtection="1">
      <alignment vertical="center" wrapText="1"/>
    </xf>
    <xf numFmtId="0" fontId="0" fillId="7" borderId="25" xfId="0" applyFill="1" applyBorder="1" applyAlignment="1" applyProtection="1">
      <alignment vertical="center" wrapText="1"/>
    </xf>
    <xf numFmtId="0" fontId="6" fillId="3" borderId="16" xfId="0" applyFont="1" applyFill="1" applyBorder="1" applyAlignment="1">
      <alignment horizontal="center" vertical="center"/>
    </xf>
    <xf numFmtId="14" fontId="0" fillId="0" borderId="0" xfId="0" applyNumberForma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Alignment="1" applyProtection="1">
      <alignment vertical="center"/>
    </xf>
    <xf numFmtId="0" fontId="10" fillId="0" borderId="0" xfId="8"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12" fillId="0" borderId="3" xfId="8" applyFont="1" applyFill="1" applyBorder="1" applyAlignment="1" applyProtection="1">
      <alignment horizontal="left"/>
    </xf>
    <xf numFmtId="0" fontId="4" fillId="0" borderId="4" xfId="8" applyFill="1" applyBorder="1" applyProtection="1"/>
    <xf numFmtId="0" fontId="4" fillId="0" borderId="23" xfId="8" applyFill="1" applyBorder="1" applyProtection="1"/>
    <xf numFmtId="0" fontId="11" fillId="0" borderId="2" xfId="8" applyFont="1" applyFill="1" applyBorder="1" applyAlignment="1" applyProtection="1">
      <alignment horizontal="center"/>
    </xf>
    <xf numFmtId="0" fontId="12" fillId="0" borderId="12" xfId="8" applyFont="1" applyFill="1" applyBorder="1" applyAlignment="1" applyProtection="1">
      <alignment horizontal="left"/>
    </xf>
    <xf numFmtId="0" fontId="4" fillId="0" borderId="12" xfId="8" applyFill="1" applyBorder="1" applyProtection="1"/>
    <xf numFmtId="0" fontId="13" fillId="0" borderId="0" xfId="8" applyFont="1" applyFill="1" applyBorder="1" applyAlignment="1" applyProtection="1">
      <alignment horizontal="left"/>
    </xf>
    <xf numFmtId="0" fontId="4" fillId="0" borderId="0" xfId="8" applyFill="1" applyAlignment="1" applyProtection="1"/>
    <xf numFmtId="0" fontId="12" fillId="0" borderId="4" xfId="8" applyFont="1" applyFill="1" applyBorder="1" applyAlignment="1" applyProtection="1">
      <alignment horizontal="left"/>
    </xf>
    <xf numFmtId="0" fontId="17" fillId="0" borderId="3" xfId="8" applyFont="1" applyFill="1" applyBorder="1" applyAlignment="1" applyProtection="1">
      <alignment horizontal="left"/>
    </xf>
    <xf numFmtId="0" fontId="12" fillId="0" borderId="23" xfId="8" applyFont="1" applyFill="1" applyBorder="1" applyAlignment="1" applyProtection="1">
      <alignment horizontal="left"/>
    </xf>
    <xf numFmtId="0" fontId="12" fillId="0" borderId="7" xfId="8" applyFont="1" applyFill="1" applyBorder="1" applyAlignment="1" applyProtection="1">
      <alignment horizontal="left"/>
    </xf>
    <xf numFmtId="0" fontId="12" fillId="0" borderId="24" xfId="8" applyFont="1" applyFill="1" applyBorder="1" applyAlignment="1" applyProtection="1">
      <alignment horizontal="left"/>
    </xf>
    <xf numFmtId="0" fontId="13" fillId="0" borderId="5" xfId="8" applyFont="1" applyFill="1" applyBorder="1" applyAlignment="1" applyProtection="1">
      <alignment horizontal="left"/>
    </xf>
    <xf numFmtId="0" fontId="6" fillId="0" borderId="6" xfId="8" applyFont="1" applyFill="1" applyBorder="1" applyProtection="1"/>
    <xf numFmtId="0" fontId="6" fillId="0" borderId="14" xfId="8" applyFont="1" applyFill="1" applyBorder="1" applyProtection="1"/>
    <xf numFmtId="0" fontId="12" fillId="0" borderId="1" xfId="8" applyFont="1" applyFill="1" applyBorder="1" applyAlignment="1" applyProtection="1">
      <alignment horizontal="left"/>
    </xf>
    <xf numFmtId="0" fontId="6" fillId="0" borderId="6" xfId="8" applyFont="1" applyFill="1" applyBorder="1" applyAlignment="1" applyProtection="1"/>
    <xf numFmtId="0" fontId="4" fillId="0" borderId="6" xfId="8" applyFill="1" applyBorder="1" applyAlignment="1" applyProtection="1"/>
    <xf numFmtId="0" fontId="4" fillId="0" borderId="14" xfId="8" applyFill="1" applyBorder="1" applyAlignment="1" applyProtection="1"/>
    <xf numFmtId="0" fontId="6" fillId="0" borderId="0" xfId="8" applyFont="1" applyFill="1" applyBorder="1" applyProtection="1"/>
    <xf numFmtId="0" fontId="4" fillId="0" borderId="0" xfId="9" applyFill="1" applyAlignment="1">
      <alignment horizontal="center" vertical="center" wrapText="1"/>
    </xf>
    <xf numFmtId="0" fontId="0" fillId="0" borderId="0" xfId="0" applyAlignment="1">
      <alignment horizontal="center" vertical="center" wrapText="1"/>
    </xf>
    <xf numFmtId="0" fontId="6" fillId="0" borderId="0" xfId="9"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4" fillId="0" borderId="0" xfId="9" applyFill="1" applyBorder="1" applyAlignment="1">
      <alignment horizontal="right" vertical="center" wrapText="1"/>
    </xf>
    <xf numFmtId="0" fontId="0" fillId="0" borderId="0" xfId="0" applyFill="1" applyBorder="1" applyAlignment="1">
      <alignment horizontal="right" vertical="center" wrapText="1"/>
    </xf>
    <xf numFmtId="0" fontId="0" fillId="0" borderId="0" xfId="0" applyAlignment="1"/>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Comma 2" xfId="6"/>
    <cellStyle name="Comma0" xfId="23"/>
    <cellStyle name="Currency" xfId="1" builtinId="4"/>
    <cellStyle name="Currency 2" xfId="24"/>
    <cellStyle name="Currency 2 2" xfId="25"/>
    <cellStyle name="Currency 3" xfId="26"/>
    <cellStyle name="Currency 4" xfId="27"/>
    <cellStyle name="Currency 5" xfId="28"/>
    <cellStyle name="Currency0" xfId="29"/>
    <cellStyle name="Date" xfId="30"/>
    <cellStyle name="Fixed" xfId="31"/>
    <cellStyle name="Heading 1 2" xfId="32"/>
    <cellStyle name="Heading 2 2" xfId="33"/>
    <cellStyle name="Hyperlink" xfId="2" builtinId="8"/>
    <cellStyle name="Normal" xfId="0" builtinId="0"/>
    <cellStyle name="Normal 10" xfId="46"/>
    <cellStyle name="Normal 2" xfId="8"/>
    <cellStyle name="Normal 2 2" xfId="5"/>
    <cellStyle name="Normal 2 2 2" xfId="9"/>
    <cellStyle name="Normal 3" xfId="3"/>
    <cellStyle name="Normal 3 2" xfId="34"/>
    <cellStyle name="Normal 4" xfId="4"/>
    <cellStyle name="Normal 4 2" xfId="10"/>
    <cellStyle name="Normal 5" xfId="35"/>
    <cellStyle name="Normal 5 2" xfId="36"/>
    <cellStyle name="Normal 6" xfId="37"/>
    <cellStyle name="Normal 6 2" xfId="38"/>
    <cellStyle name="Normal 7" xfId="39"/>
    <cellStyle name="Normal 8" xfId="40"/>
    <cellStyle name="Normal 9" xfId="45"/>
    <cellStyle name="Note 2" xfId="41"/>
    <cellStyle name="Note 2 2" xfId="42"/>
    <cellStyle name="Percent" xfId="47" builtinId="5"/>
    <cellStyle name="Percent 2" xfId="7"/>
    <cellStyle name="Percent 3" xfId="43"/>
    <cellStyle name="Total 2" xfId="44"/>
  </cellStyles>
  <dxfs count="40">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6600"/>
      <color rgb="FF0000CC"/>
      <color rgb="FFCC99FF"/>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333374</xdr:rowOff>
    </xdr:to>
    <xdr:pic>
      <xdr:nvPicPr>
        <xdr:cNvPr id="4" name="Picture 3" descr="Cranes sitting on construction drawings building a foundation&#10;" title="Index Pictur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E00-000002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7</xdr:col>
      <xdr:colOff>19050</xdr:colOff>
      <xdr:row>30</xdr:row>
      <xdr:rowOff>68580</xdr:rowOff>
    </xdr:from>
    <xdr:to>
      <xdr:col>11</xdr:col>
      <xdr:colOff>114300</xdr:colOff>
      <xdr:row>35</xdr:row>
      <xdr:rowOff>123824</xdr:rowOff>
    </xdr:to>
    <xdr:sp macro="" textlink="">
      <xdr:nvSpPr>
        <xdr:cNvPr id="3" name="Rounded Rectangular Callout 2"/>
        <xdr:cNvSpPr/>
      </xdr:nvSpPr>
      <xdr:spPr>
        <a:xfrm>
          <a:off x="9848850" y="6659880"/>
          <a:ext cx="2594610" cy="100774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6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B00-000002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9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2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ib34293\Downloads\dgs-30-199_02-22_cr-1_project_planner_example%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ovgov.sharepoint.com/My%20Documents/H%20Drive%20-%20Workbench/_COST%20REVIEW/CBRs/FY23/123/123%20DMA%20-%20SMR%20Indoor%20Small%20Arms%20Firing%20Rang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ovgov.sharepoint.com/sites/dgs-cpu/cradm/Templates/dgs-30-199_05-10-22_cr-1_project_planner%20-%20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Overview"/>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sheetData sheetId="1">
        <row r="2">
          <cell r="A2" t="str">
            <v>DGS-30-199</v>
          </cell>
        </row>
        <row r="42">
          <cell r="D42"/>
        </row>
      </sheetData>
      <sheetData sheetId="2"/>
      <sheetData sheetId="3"/>
      <sheetData sheetId="4">
        <row r="8">
          <cell r="D8">
            <v>40257.575757575753</v>
          </cell>
        </row>
      </sheetData>
      <sheetData sheetId="5">
        <row r="5">
          <cell r="E5">
            <v>40257.575757575753</v>
          </cell>
        </row>
      </sheetData>
      <sheetData sheetId="6"/>
      <sheetData sheetId="7"/>
      <sheetData sheetId="8">
        <row r="5">
          <cell r="E5">
            <v>24901.515151515152</v>
          </cell>
        </row>
      </sheetData>
      <sheetData sheetId="9"/>
      <sheetData sheetId="10"/>
      <sheetData sheetId="11">
        <row r="5">
          <cell r="E5">
            <v>133333.33333333334</v>
          </cell>
        </row>
      </sheetData>
      <sheetData sheetId="12"/>
      <sheetData sheetId="13"/>
      <sheetData sheetId="14"/>
      <sheetData sheetId="15"/>
      <sheetData sheetId="16"/>
      <sheetData sheetId="17">
        <row r="6">
          <cell r="GH6">
            <v>209.2</v>
          </cell>
        </row>
      </sheetData>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dex"/>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sheetData sheetId="1"/>
      <sheetData sheetId="2"/>
      <sheetData sheetId="3"/>
      <sheetData sheetId="4"/>
      <sheetData sheetId="5"/>
      <sheetData sheetId="6"/>
      <sheetData sheetId="7"/>
      <sheetData sheetId="8"/>
      <sheetData sheetId="9">
        <row r="5">
          <cell r="D5" t="str">
            <v>ARMORY</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Overview"/>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HCI"/>
      <sheetName val="DP Est"/>
      <sheetName val="Escalation"/>
      <sheetName val="Inst - Writ"/>
      <sheetName val="Inst - Flo-Ch"/>
      <sheetName val="VLOOKUPS"/>
      <sheetName val="Codes"/>
    </sheetNames>
    <sheetDataSet>
      <sheetData sheetId="0" refreshError="1"/>
      <sheetData sheetId="1" refreshError="1"/>
      <sheetData sheetId="2" refreshError="1"/>
      <sheetData sheetId="3" refreshError="1"/>
      <sheetData sheetId="4" refreshError="1">
        <row r="16">
          <cell r="F16">
            <v>37990086.049609505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BHelpDesk@vita.virginia.gov" TargetMode="External"/><Relationship Id="rId7" Type="http://schemas.openxmlformats.org/officeDocument/2006/relationships/drawing" Target="../drawings/drawing1.xml"/><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printerSettings" Target="../printerSettings/printerSettings1.bin"/><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tabSelected="1" zoomScaleNormal="100" zoomScaleSheetLayoutView="100" workbookViewId="0">
      <selection activeCell="B4" sqref="B4"/>
    </sheetView>
  </sheetViews>
  <sheetFormatPr defaultColWidth="9.109375" defaultRowHeight="13.2" x14ac:dyDescent="0.25"/>
  <cols>
    <col min="1" max="1" width="1.6640625" style="143" customWidth="1"/>
    <col min="2" max="2" width="17.6640625" style="143" customWidth="1"/>
    <col min="3" max="3" width="1.6640625" style="143" customWidth="1"/>
    <col min="4" max="4" width="17.6640625" style="143" customWidth="1"/>
    <col min="5" max="5" width="1.6640625" style="143" customWidth="1"/>
    <col min="6" max="6" width="17.6640625" style="143" customWidth="1"/>
    <col min="7" max="7" width="1.6640625" style="143" customWidth="1"/>
    <col min="8" max="8" width="17.6640625" style="145" customWidth="1"/>
    <col min="9" max="9" width="1.6640625" style="143" customWidth="1"/>
    <col min="10" max="10" width="17.6640625" style="143" customWidth="1"/>
    <col min="11" max="11" width="1.6640625" style="143" customWidth="1"/>
    <col min="12" max="12" width="17.6640625" style="143" customWidth="1"/>
    <col min="13" max="13" width="1.6640625" style="143" customWidth="1"/>
    <col min="14" max="14" width="17.6640625" style="143" customWidth="1"/>
    <col min="15" max="15" width="1.6640625" style="143" customWidth="1"/>
    <col min="16" max="16" width="17.6640625" style="145" customWidth="1"/>
    <col min="17" max="17" width="1.109375" style="143" customWidth="1"/>
    <col min="18" max="18" width="55.6640625" style="145" customWidth="1"/>
    <col min="19" max="16384" width="9.109375" style="143"/>
  </cols>
  <sheetData>
    <row r="1" spans="1:28" ht="117" customHeight="1" x14ac:dyDescent="0.5">
      <c r="A1" s="174"/>
      <c r="B1" s="142" t="s">
        <v>1099</v>
      </c>
      <c r="H1" s="143"/>
      <c r="J1" s="146"/>
      <c r="K1" s="146"/>
      <c r="L1" s="144"/>
      <c r="M1" s="144"/>
      <c r="N1" s="144"/>
      <c r="O1" s="144"/>
      <c r="P1" s="144"/>
      <c r="T1" s="145"/>
    </row>
    <row r="2" spans="1:28" ht="5.25" customHeight="1" x14ac:dyDescent="0.5">
      <c r="H2" s="143"/>
      <c r="J2" s="146"/>
      <c r="K2" s="146"/>
      <c r="L2" s="144"/>
      <c r="M2" s="144"/>
      <c r="N2" s="144"/>
      <c r="O2" s="144"/>
      <c r="P2" s="144"/>
      <c r="T2" s="145"/>
    </row>
    <row r="3" spans="1:28" s="147" customFormat="1" ht="36" customHeight="1" x14ac:dyDescent="0.5">
      <c r="B3" s="154" t="s">
        <v>1191</v>
      </c>
      <c r="C3" s="146"/>
      <c r="D3" s="146"/>
      <c r="E3" s="146"/>
      <c r="F3" s="146"/>
      <c r="G3" s="146"/>
      <c r="H3" s="146"/>
      <c r="I3" s="146"/>
      <c r="J3" s="146"/>
      <c r="K3" s="146"/>
      <c r="L3" s="146"/>
      <c r="M3" s="146"/>
      <c r="N3" s="146"/>
      <c r="O3" s="146"/>
      <c r="P3" s="146"/>
      <c r="Q3" s="153"/>
      <c r="R3" s="152"/>
      <c r="S3" s="153"/>
      <c r="T3" s="152"/>
    </row>
    <row r="4" spans="1:28" s="153" customFormat="1" ht="21.9" customHeight="1" x14ac:dyDescent="0.5">
      <c r="B4" s="480">
        <f>Overview!A3</f>
        <v>44777</v>
      </c>
      <c r="D4" s="561"/>
      <c r="H4" s="626" t="s">
        <v>1193</v>
      </c>
      <c r="I4" s="627"/>
      <c r="J4" s="627"/>
      <c r="R4" s="152"/>
      <c r="T4" s="152"/>
    </row>
    <row r="5" spans="1:28" s="153" customFormat="1" ht="21.9" customHeight="1" x14ac:dyDescent="0.5">
      <c r="B5" s="392"/>
      <c r="F5" s="628" t="s">
        <v>1194</v>
      </c>
      <c r="G5" s="629"/>
      <c r="H5" s="630"/>
      <c r="I5" s="393"/>
      <c r="R5" s="152"/>
      <c r="T5" s="152"/>
    </row>
    <row r="6" spans="1:28" s="173" customFormat="1" ht="42" customHeight="1" thickBot="1" x14ac:dyDescent="0.35">
      <c r="B6" s="168" t="s">
        <v>1106</v>
      </c>
      <c r="C6" s="169"/>
      <c r="D6" s="168" t="s">
        <v>1109</v>
      </c>
      <c r="E6" s="168"/>
      <c r="F6" s="170" t="s">
        <v>1101</v>
      </c>
      <c r="G6" s="169"/>
      <c r="H6" s="170" t="s">
        <v>1100</v>
      </c>
      <c r="I6" s="168"/>
      <c r="J6" s="168" t="s">
        <v>1147</v>
      </c>
      <c r="K6" s="168"/>
      <c r="L6" s="168" t="s">
        <v>1148</v>
      </c>
      <c r="M6" s="168"/>
      <c r="N6" s="168" t="s">
        <v>1149</v>
      </c>
      <c r="O6" s="168"/>
      <c r="P6" s="168" t="s">
        <v>1144</v>
      </c>
      <c r="Q6" s="171"/>
      <c r="R6" s="172"/>
      <c r="S6" s="171"/>
    </row>
    <row r="7" spans="1:28" ht="12" customHeight="1" x14ac:dyDescent="0.25">
      <c r="B7" s="157"/>
      <c r="C7" s="157"/>
      <c r="D7" s="157"/>
      <c r="E7" s="157"/>
      <c r="F7" s="157"/>
      <c r="G7" s="157"/>
      <c r="H7" s="157"/>
      <c r="I7" s="157"/>
      <c r="J7" s="157"/>
      <c r="K7" s="157"/>
      <c r="L7" s="157"/>
      <c r="M7" s="157"/>
      <c r="N7" s="157"/>
      <c r="O7" s="158"/>
      <c r="P7" s="159"/>
      <c r="Q7" s="155"/>
      <c r="R7" s="156"/>
      <c r="S7" s="155"/>
    </row>
    <row r="8" spans="1:28" s="191" customFormat="1" ht="33" customHeight="1" x14ac:dyDescent="0.25">
      <c r="B8" s="235" t="s">
        <v>1107</v>
      </c>
      <c r="C8" s="192"/>
      <c r="D8" s="525" t="s">
        <v>1237</v>
      </c>
      <c r="E8" s="192"/>
      <c r="F8" s="235" t="s">
        <v>1105</v>
      </c>
      <c r="G8" s="192"/>
      <c r="H8" s="235" t="s">
        <v>1157</v>
      </c>
      <c r="I8" s="192"/>
      <c r="J8" s="193" t="s">
        <v>1115</v>
      </c>
      <c r="K8" s="192"/>
      <c r="L8" s="194" t="s">
        <v>1115</v>
      </c>
      <c r="M8" s="192"/>
      <c r="N8" s="195" t="s">
        <v>1115</v>
      </c>
      <c r="O8" s="196"/>
      <c r="P8" s="289" t="s">
        <v>1144</v>
      </c>
      <c r="Q8" s="197"/>
      <c r="R8" s="198"/>
      <c r="S8" s="199"/>
      <c r="AB8" s="200"/>
    </row>
    <row r="9" spans="1:28" s="191" customFormat="1" ht="21.9" customHeight="1" x14ac:dyDescent="0.25">
      <c r="B9" s="201"/>
      <c r="C9" s="192"/>
      <c r="D9" s="163"/>
      <c r="E9" s="192"/>
      <c r="F9" s="192"/>
      <c r="G9" s="192"/>
      <c r="H9" s="192"/>
      <c r="I9" s="192"/>
      <c r="J9" s="192"/>
      <c r="K9" s="192"/>
      <c r="L9" s="192"/>
      <c r="M9" s="192"/>
      <c r="N9" s="192"/>
      <c r="O9" s="196"/>
      <c r="P9" s="196"/>
      <c r="Q9" s="197"/>
      <c r="R9" s="198"/>
      <c r="S9" s="199"/>
      <c r="Z9" s="200"/>
      <c r="AB9" s="200"/>
    </row>
    <row r="10" spans="1:28" s="191" customFormat="1" ht="33" customHeight="1" x14ac:dyDescent="0.25">
      <c r="B10" s="235" t="s">
        <v>1108</v>
      </c>
      <c r="C10" s="192"/>
      <c r="D10" s="235" t="s">
        <v>1110</v>
      </c>
      <c r="E10" s="192"/>
      <c r="F10" s="235" t="s">
        <v>1146</v>
      </c>
      <c r="G10" s="192"/>
      <c r="H10" s="235" t="s">
        <v>1102</v>
      </c>
      <c r="I10" s="192"/>
      <c r="J10" s="193" t="s">
        <v>1116</v>
      </c>
      <c r="K10" s="192"/>
      <c r="L10" s="194" t="s">
        <v>1116</v>
      </c>
      <c r="M10" s="192"/>
      <c r="N10" s="195" t="s">
        <v>1116</v>
      </c>
      <c r="O10" s="196"/>
      <c r="P10" s="196"/>
      <c r="Q10" s="197"/>
      <c r="R10" s="198"/>
      <c r="S10" s="199"/>
      <c r="Z10" s="200"/>
      <c r="AB10" s="200"/>
    </row>
    <row r="11" spans="1:28" s="191" customFormat="1" ht="21.9" customHeight="1" x14ac:dyDescent="0.25">
      <c r="B11" s="201"/>
      <c r="C11" s="192"/>
      <c r="D11" s="202"/>
      <c r="E11" s="192"/>
      <c r="F11" s="192"/>
      <c r="G11" s="192"/>
      <c r="H11" s="192"/>
      <c r="I11" s="192"/>
      <c r="J11" s="192"/>
      <c r="K11" s="192"/>
      <c r="L11" s="192"/>
      <c r="M11" s="192"/>
      <c r="N11" s="192"/>
      <c r="O11" s="192"/>
      <c r="P11" s="192"/>
      <c r="Q11" s="203"/>
      <c r="R11" s="204"/>
      <c r="Z11" s="200"/>
      <c r="AB11" s="200"/>
    </row>
    <row r="12" spans="1:28" s="191" customFormat="1" ht="33" customHeight="1" x14ac:dyDescent="0.25">
      <c r="B12" s="205"/>
      <c r="C12" s="192"/>
      <c r="D12" s="235" t="s">
        <v>1156</v>
      </c>
      <c r="E12" s="192"/>
      <c r="F12" s="235" t="s">
        <v>1104</v>
      </c>
      <c r="G12" s="192"/>
      <c r="H12" s="357" t="s">
        <v>1186</v>
      </c>
      <c r="I12" s="192"/>
      <c r="J12" s="193" t="s">
        <v>1117</v>
      </c>
      <c r="K12" s="192"/>
      <c r="L12" s="194" t="s">
        <v>1117</v>
      </c>
      <c r="M12" s="192"/>
      <c r="N12" s="195" t="s">
        <v>1117</v>
      </c>
      <c r="O12" s="192"/>
      <c r="P12" s="192"/>
      <c r="Q12" s="203"/>
      <c r="R12" s="204"/>
      <c r="Z12" s="200"/>
      <c r="AB12" s="200"/>
    </row>
    <row r="13" spans="1:28" s="191" customFormat="1" ht="21.9" customHeight="1" x14ac:dyDescent="0.25">
      <c r="B13" s="192"/>
      <c r="C13" s="192"/>
      <c r="D13" s="192"/>
      <c r="E13" s="192"/>
      <c r="F13" s="192"/>
      <c r="G13" s="192"/>
      <c r="H13" s="192"/>
      <c r="I13" s="192"/>
      <c r="J13" s="201"/>
      <c r="K13" s="192"/>
      <c r="L13" s="201"/>
      <c r="M13" s="192"/>
      <c r="N13" s="201"/>
      <c r="O13" s="192"/>
      <c r="P13" s="192"/>
      <c r="Q13" s="203"/>
      <c r="R13" s="204"/>
      <c r="Y13" s="200"/>
      <c r="AA13" s="200"/>
    </row>
    <row r="14" spans="1:28" s="191" customFormat="1" ht="33" customHeight="1" x14ac:dyDescent="0.25">
      <c r="B14" s="205"/>
      <c r="C14" s="192"/>
      <c r="D14" s="235" t="s">
        <v>1111</v>
      </c>
      <c r="E14" s="192"/>
      <c r="F14" s="192"/>
      <c r="G14" s="192"/>
      <c r="H14" s="192"/>
      <c r="I14" s="192"/>
      <c r="J14" s="623" t="s">
        <v>1103</v>
      </c>
      <c r="K14" s="624"/>
      <c r="L14" s="624"/>
      <c r="M14" s="624"/>
      <c r="N14" s="624"/>
      <c r="O14" s="625"/>
      <c r="P14" s="625"/>
      <c r="Q14" s="203"/>
      <c r="R14" s="204"/>
      <c r="Y14" s="200"/>
      <c r="AA14" s="200"/>
    </row>
    <row r="15" spans="1:28" s="191" customFormat="1" ht="21.9" customHeight="1" x14ac:dyDescent="0.25">
      <c r="B15" s="201"/>
      <c r="C15" s="192"/>
      <c r="D15" s="192"/>
      <c r="E15" s="192"/>
      <c r="F15" s="192"/>
      <c r="G15" s="192"/>
      <c r="H15" s="160"/>
      <c r="I15" s="192"/>
      <c r="J15" s="160"/>
      <c r="K15" s="160"/>
      <c r="L15" s="160"/>
      <c r="M15" s="160"/>
      <c r="N15" s="160"/>
      <c r="O15" s="160"/>
      <c r="P15" s="160"/>
      <c r="Q15" s="203"/>
      <c r="R15" s="204"/>
      <c r="Y15" s="200"/>
      <c r="AA15" s="200"/>
    </row>
    <row r="16" spans="1:28" s="191" customFormat="1" ht="33" customHeight="1" x14ac:dyDescent="0.25">
      <c r="B16" s="192"/>
      <c r="C16" s="192"/>
      <c r="D16" s="235" t="s">
        <v>946</v>
      </c>
      <c r="F16" s="192"/>
      <c r="G16" s="192"/>
      <c r="H16" s="160"/>
      <c r="I16" s="192"/>
      <c r="J16" s="160"/>
      <c r="K16" s="160"/>
      <c r="L16" s="160"/>
      <c r="M16" s="160"/>
      <c r="N16" s="160"/>
      <c r="O16" s="160"/>
      <c r="P16" s="160"/>
      <c r="Q16" s="203"/>
      <c r="R16" s="204"/>
    </row>
    <row r="17" spans="2:28" s="63" customFormat="1" ht="21.9" customHeight="1" x14ac:dyDescent="0.25">
      <c r="B17" s="162"/>
      <c r="C17" s="160"/>
      <c r="D17" s="201"/>
      <c r="E17" s="160"/>
      <c r="F17" s="162"/>
      <c r="G17" s="165"/>
      <c r="H17" s="165"/>
      <c r="I17" s="165"/>
      <c r="J17" s="165"/>
      <c r="K17" s="165"/>
      <c r="L17" s="165"/>
      <c r="M17" s="165"/>
      <c r="N17" s="165"/>
      <c r="O17" s="165"/>
      <c r="P17" s="165"/>
      <c r="Q17" s="163"/>
      <c r="R17" s="164"/>
      <c r="Y17" s="148"/>
      <c r="AA17" s="148"/>
    </row>
    <row r="18" spans="2:28" s="63" customFormat="1" ht="33" customHeight="1" x14ac:dyDescent="0.25">
      <c r="B18" s="162"/>
      <c r="C18" s="160"/>
      <c r="D18" s="235" t="s">
        <v>1229</v>
      </c>
      <c r="E18" s="473"/>
      <c r="F18" s="394"/>
      <c r="G18" s="395"/>
      <c r="H18" s="395"/>
      <c r="I18" s="165"/>
      <c r="J18" s="166"/>
      <c r="K18" s="166"/>
      <c r="L18" s="166"/>
      <c r="M18" s="166"/>
      <c r="N18" s="166"/>
      <c r="O18" s="166"/>
      <c r="P18" s="166"/>
      <c r="Q18" s="163"/>
      <c r="R18" s="164"/>
    </row>
    <row r="19" spans="2:28" s="149" customFormat="1" ht="21.9" customHeight="1" x14ac:dyDescent="0.25">
      <c r="B19" s="162"/>
      <c r="C19" s="165"/>
      <c r="D19" s="165"/>
      <c r="E19" s="165"/>
      <c r="F19" s="162"/>
      <c r="G19" s="165"/>
      <c r="H19" s="165"/>
      <c r="I19" s="396"/>
      <c r="J19" s="396"/>
      <c r="K19" s="166"/>
      <c r="L19" s="166"/>
      <c r="M19" s="166"/>
      <c r="N19" s="166"/>
      <c r="O19" s="166"/>
      <c r="P19" s="166"/>
      <c r="Q19" s="166"/>
      <c r="R19" s="167"/>
    </row>
    <row r="20" spans="2:28" s="149" customFormat="1" ht="33" customHeight="1" x14ac:dyDescent="0.25">
      <c r="B20" s="163"/>
      <c r="C20" s="163"/>
      <c r="D20" s="235" t="s">
        <v>1226</v>
      </c>
      <c r="E20" s="163"/>
      <c r="F20" s="166"/>
      <c r="G20" s="166"/>
      <c r="H20" s="166"/>
      <c r="I20" s="166"/>
      <c r="J20" s="166"/>
      <c r="K20" s="166"/>
      <c r="L20" s="166"/>
      <c r="M20" s="166"/>
      <c r="N20" s="166"/>
      <c r="O20" s="166"/>
      <c r="P20" s="166"/>
      <c r="Q20" s="166"/>
      <c r="R20" s="167"/>
    </row>
    <row r="21" spans="2:28" s="149" customFormat="1" ht="21.9" customHeight="1" x14ac:dyDescent="0.25">
      <c r="B21" s="163"/>
      <c r="C21" s="163"/>
      <c r="D21" s="165"/>
      <c r="E21" s="163"/>
      <c r="F21" s="163"/>
      <c r="G21" s="163"/>
      <c r="H21" s="163"/>
      <c r="I21" s="166"/>
      <c r="J21" s="163"/>
      <c r="K21" s="163"/>
      <c r="L21" s="163"/>
      <c r="M21" s="163"/>
      <c r="N21" s="163"/>
      <c r="O21" s="163"/>
      <c r="P21" s="163"/>
      <c r="Q21" s="166"/>
      <c r="R21" s="167"/>
    </row>
    <row r="22" spans="2:28" s="149" customFormat="1" ht="21.9" customHeight="1" x14ac:dyDescent="0.25">
      <c r="B22" s="163"/>
      <c r="C22" s="163"/>
      <c r="D22" s="163"/>
      <c r="E22" s="163"/>
      <c r="F22" s="163"/>
      <c r="G22" s="163"/>
      <c r="H22" s="163"/>
      <c r="I22" s="166"/>
      <c r="J22" s="163"/>
      <c r="K22" s="163"/>
      <c r="L22" s="163"/>
      <c r="M22" s="163"/>
      <c r="N22" s="163"/>
      <c r="O22" s="163"/>
      <c r="P22" s="163"/>
      <c r="Q22" s="166"/>
      <c r="R22" s="167"/>
    </row>
    <row r="23" spans="2:28" s="63" customFormat="1" ht="21.9" customHeight="1" x14ac:dyDescent="0.25">
      <c r="B23" s="163"/>
      <c r="C23" s="163"/>
      <c r="E23" s="163"/>
      <c r="F23" s="163"/>
      <c r="G23" s="163"/>
      <c r="H23" s="163"/>
      <c r="I23" s="163"/>
      <c r="J23" s="163"/>
      <c r="K23" s="163"/>
      <c r="L23" s="163"/>
      <c r="M23" s="163"/>
      <c r="N23" s="163"/>
      <c r="O23" s="163"/>
      <c r="P23" s="163"/>
      <c r="Q23" s="41"/>
      <c r="R23" s="161"/>
      <c r="S23" s="149"/>
      <c r="T23" s="149"/>
      <c r="U23" s="149"/>
      <c r="V23" s="149"/>
      <c r="W23" s="149"/>
      <c r="X23" s="62"/>
      <c r="Y23" s="150"/>
      <c r="Z23" s="62"/>
      <c r="AA23" s="150"/>
    </row>
    <row r="24" spans="2:28" s="63" customFormat="1" ht="21.9" customHeight="1" x14ac:dyDescent="0.25">
      <c r="B24" s="163"/>
      <c r="C24" s="163"/>
      <c r="D24" s="163"/>
      <c r="E24" s="163"/>
      <c r="F24" s="163"/>
      <c r="G24" s="163"/>
      <c r="H24" s="163"/>
      <c r="I24" s="163"/>
      <c r="J24" s="163"/>
      <c r="K24" s="163"/>
      <c r="L24" s="163"/>
      <c r="M24" s="163"/>
      <c r="N24" s="163"/>
      <c r="O24" s="163"/>
      <c r="P24" s="163"/>
      <c r="Q24" s="163"/>
      <c r="R24" s="164" t="s">
        <v>349</v>
      </c>
      <c r="S24" s="149"/>
      <c r="T24" s="149"/>
      <c r="U24" s="149"/>
      <c r="V24" s="149"/>
      <c r="W24" s="149"/>
      <c r="Y24" s="148"/>
      <c r="AA24" s="148"/>
    </row>
    <row r="25" spans="2:28" s="63" customFormat="1" ht="21.9" customHeight="1" x14ac:dyDescent="0.25">
      <c r="B25" s="163"/>
      <c r="C25" s="163"/>
      <c r="D25" s="163"/>
      <c r="E25" s="163"/>
      <c r="F25" s="163"/>
      <c r="G25" s="163"/>
      <c r="I25" s="163"/>
      <c r="Q25" s="163"/>
      <c r="R25" s="164" t="s">
        <v>349</v>
      </c>
      <c r="S25" s="149"/>
      <c r="T25" s="149"/>
      <c r="U25" s="149"/>
      <c r="V25" s="149"/>
      <c r="W25" s="149"/>
      <c r="AB25" s="148"/>
    </row>
    <row r="26" spans="2:28" s="63" customFormat="1" ht="15" customHeight="1" x14ac:dyDescent="0.25">
      <c r="B26" s="163"/>
      <c r="C26" s="163"/>
      <c r="D26" s="163"/>
      <c r="E26" s="163"/>
      <c r="F26" s="163"/>
      <c r="G26" s="163"/>
      <c r="I26" s="163"/>
      <c r="Q26" s="163"/>
      <c r="R26" s="164"/>
      <c r="Z26" s="148"/>
      <c r="AB26" s="148"/>
    </row>
    <row r="27" spans="2:28" s="63" customFormat="1" ht="15" customHeight="1" x14ac:dyDescent="0.25">
      <c r="D27" s="163"/>
      <c r="R27" s="148"/>
      <c r="V27" s="149"/>
    </row>
    <row r="28" spans="2:28" s="63" customFormat="1" ht="15" customHeight="1" x14ac:dyDescent="0.25">
      <c r="D28" s="163"/>
      <c r="R28" s="148"/>
      <c r="Z28" s="148"/>
      <c r="AB28" s="148"/>
    </row>
    <row r="29" spans="2:28" s="63" customFormat="1" ht="15" customHeight="1" x14ac:dyDescent="0.25">
      <c r="R29" s="148"/>
      <c r="V29" s="149"/>
      <c r="AB29" s="148"/>
    </row>
    <row r="30" spans="2:28" s="63" customFormat="1" ht="15" customHeight="1" x14ac:dyDescent="0.25">
      <c r="R30" s="148"/>
      <c r="Z30" s="148"/>
      <c r="AB30" s="148"/>
    </row>
    <row r="31" spans="2:28" s="63" customFormat="1" ht="15" customHeight="1" x14ac:dyDescent="0.25">
      <c r="R31" s="148"/>
      <c r="V31" s="149"/>
      <c r="Z31" s="148"/>
      <c r="AB31" s="148"/>
    </row>
    <row r="32" spans="2:28" s="63" customFormat="1" ht="15" customHeight="1" x14ac:dyDescent="0.25">
      <c r="R32" s="148"/>
      <c r="Z32" s="148"/>
      <c r="AB32" s="148"/>
    </row>
    <row r="33" spans="2:28" s="63" customFormat="1" ht="15" customHeight="1" x14ac:dyDescent="0.25">
      <c r="R33" s="148"/>
      <c r="V33" s="149"/>
      <c r="Z33" s="148"/>
      <c r="AB33" s="148"/>
    </row>
    <row r="34" spans="2:28" s="63" customFormat="1" ht="15" customHeight="1" x14ac:dyDescent="0.25">
      <c r="H34" s="148"/>
      <c r="N34" s="151"/>
      <c r="P34" s="148"/>
      <c r="R34" s="148"/>
      <c r="Z34" s="148"/>
      <c r="AB34" s="148"/>
    </row>
    <row r="35" spans="2:28" s="63" customFormat="1" ht="15" customHeight="1" x14ac:dyDescent="0.25">
      <c r="H35" s="148"/>
      <c r="N35" s="143"/>
      <c r="P35" s="148"/>
      <c r="R35" s="148"/>
      <c r="X35" s="143"/>
      <c r="Z35" s="148"/>
      <c r="AB35" s="148"/>
    </row>
    <row r="36" spans="2:28" s="63" customFormat="1" ht="15" customHeight="1" x14ac:dyDescent="0.25">
      <c r="H36" s="148"/>
      <c r="P36" s="148"/>
      <c r="R36" s="148"/>
    </row>
    <row r="37" spans="2:28" s="63" customFormat="1" ht="15" customHeight="1" x14ac:dyDescent="0.25">
      <c r="H37" s="148"/>
      <c r="N37" s="143"/>
      <c r="P37" s="148"/>
      <c r="R37" s="148"/>
    </row>
    <row r="38" spans="2:28" s="63" customFormat="1" ht="15" customHeight="1" x14ac:dyDescent="0.25">
      <c r="H38" s="148"/>
      <c r="J38" s="143"/>
      <c r="P38" s="148"/>
      <c r="R38" s="148"/>
    </row>
    <row r="39" spans="2:28" s="63" customFormat="1" ht="15" customHeight="1" x14ac:dyDescent="0.25">
      <c r="H39" s="148"/>
      <c r="J39" s="143"/>
      <c r="P39" s="148"/>
      <c r="R39" s="148"/>
    </row>
    <row r="40" spans="2:28" s="63" customFormat="1" ht="15" customHeight="1" x14ac:dyDescent="0.25">
      <c r="H40" s="145"/>
      <c r="J40" s="143"/>
      <c r="K40" s="143"/>
      <c r="M40" s="143"/>
      <c r="N40" s="143"/>
      <c r="O40" s="143"/>
      <c r="P40" s="145"/>
      <c r="R40" s="148"/>
    </row>
    <row r="41" spans="2:28" s="63" customFormat="1" ht="15" customHeight="1" x14ac:dyDescent="0.25">
      <c r="H41" s="145"/>
      <c r="J41" s="143"/>
      <c r="K41" s="143"/>
      <c r="M41" s="143"/>
      <c r="N41" s="143"/>
      <c r="O41" s="143"/>
      <c r="P41" s="145"/>
      <c r="R41" s="148"/>
    </row>
    <row r="42" spans="2:28" x14ac:dyDescent="0.25">
      <c r="B42" s="63"/>
      <c r="D42" s="63"/>
    </row>
    <row r="43" spans="2:28" x14ac:dyDescent="0.25">
      <c r="B43" s="63"/>
      <c r="D43" s="63"/>
    </row>
    <row r="44" spans="2:28" x14ac:dyDescent="0.25">
      <c r="D44" s="63"/>
    </row>
  </sheetData>
  <sheetProtection algorithmName="SHA-512" hashValue="QvaRE3CUYLZ7NcGofxfP0YrKilF4gK4xTJGQt+o9Tq5KdxfAncfOOCm+60o5wnQfmUpuzDbd7YipztClKNNwkQ==" saltValue="CZgKhSg2YXt6vbx6+26VFw==" spinCount="100000" sheet="1" objects="1" scenarios="1"/>
  <mergeCells count="3">
    <mergeCell ref="J14:P14"/>
    <mergeCell ref="H4:J4"/>
    <mergeCell ref="F5:H5"/>
  </mergeCells>
  <hyperlinks>
    <hyperlink ref="F10" r:id="rId1" display="capout@dgs.virginia.gov"/>
    <hyperlink ref="H10" r:id="rId2"/>
    <hyperlink ref="F12" r:id="rId3"/>
    <hyperlink ref="B10" location="'Inst - Flo-Ch'!A1" display="Flow Chart"/>
    <hyperlink ref="D10" location="Overview!A1" display="Overview"/>
    <hyperlink ref="D12" location="Narrative!A1" display="Agency Narrative"/>
    <hyperlink ref="D14" location="Budget!A1" display="Budget"/>
    <hyperlink ref="D16" location="DWGs!A1" display="Drawings"/>
    <hyperlink ref="F8" location="HCI!GH5" display="HCI"/>
    <hyperlink ref="H8" r:id="rId4" display="Virginia Database"/>
    <hyperlink ref="J8" location="'Type 1 Prog'!A1" display="Program"/>
    <hyperlink ref="J10" location="'Type 1 Attr'!A1" display="Attributes"/>
    <hyperlink ref="J12" location="'Type 1 Comps'!A1" display="Comps"/>
    <hyperlink ref="L8" location="'Type 2 Prog'!A1" display="Program"/>
    <hyperlink ref="L10" location="'Type 2 Attr'!A1" display="Attributes"/>
    <hyperlink ref="L12" location="'Type 2 Comps'!A1" display="Comps"/>
    <hyperlink ref="N8" location="'Type 3 Prog'!A1" display="Program"/>
    <hyperlink ref="N10" location="'Type 3 Attr'!A1" display="Attributes"/>
    <hyperlink ref="N12" location="'Type 3 Comps'!A1" display="Comps"/>
    <hyperlink ref="J14:N14" location="Blender!A1" display="Blender"/>
    <hyperlink ref="B8" location="'Inst - Writ'!A1" display="Written"/>
    <hyperlink ref="H12" r:id="rId5"/>
    <hyperlink ref="P8" location="Estimate!A1" display="Estimate"/>
    <hyperlink ref="D18" location="Escalation!A1" display="Escalation"/>
    <hyperlink ref="D20" location="'DP Est'!A1" display="Planning"/>
    <hyperlink ref="D8" location="'Executive Summary'!A1" display="Narrative"/>
  </hyperlinks>
  <printOptions horizontalCentered="1" verticalCentered="1"/>
  <pageMargins left="0.2" right="0.2" top="0.75" bottom="0.75" header="0" footer="0"/>
  <pageSetup scale="88" orientation="landscape" r:id="rId6"/>
  <colBreaks count="1" manualBreakCount="1">
    <brk id="18" max="40" man="1"/>
  </colBreaks>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F16" sqref="F16"/>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39" t="s">
        <v>1118</v>
      </c>
      <c r="B1" s="640"/>
      <c r="C1" s="182"/>
      <c r="D1" s="183"/>
      <c r="E1" s="183"/>
      <c r="F1" s="181"/>
    </row>
    <row r="2" spans="1:10" s="34" customFormat="1" ht="21.9" customHeight="1" x14ac:dyDescent="0.25">
      <c r="A2" s="53"/>
      <c r="B2" s="75"/>
      <c r="C2" s="54"/>
      <c r="D2" s="55"/>
      <c r="F2" s="130"/>
      <c r="G2" s="57"/>
    </row>
    <row r="3" spans="1:10" s="34" customFormat="1" ht="21.9" customHeight="1" x14ac:dyDescent="0.25">
      <c r="A3" s="693"/>
      <c r="B3" s="694"/>
      <c r="C3" s="56"/>
      <c r="D3" s="41"/>
      <c r="F3" s="130"/>
      <c r="G3" s="56"/>
    </row>
    <row r="4" spans="1:10" s="34" customFormat="1" ht="21.9" customHeight="1" x14ac:dyDescent="0.25">
      <c r="A4" s="129"/>
      <c r="B4" s="76" t="s">
        <v>952</v>
      </c>
      <c r="C4" s="56"/>
      <c r="D4" s="41"/>
      <c r="F4" s="130"/>
      <c r="G4" s="56"/>
    </row>
    <row r="5" spans="1:10" ht="21.9" customHeight="1" x14ac:dyDescent="0.25">
      <c r="B5" s="695" t="s">
        <v>996</v>
      </c>
      <c r="C5" s="638"/>
      <c r="D5" s="101" t="s">
        <v>954</v>
      </c>
      <c r="E5" s="109">
        <f>E7/E6</f>
        <v>24901.515151515152</v>
      </c>
      <c r="F5" s="696"/>
    </row>
    <row r="6" spans="1:10" ht="21.9" customHeight="1" x14ac:dyDescent="0.25">
      <c r="B6" s="638"/>
      <c r="C6" s="638"/>
      <c r="D6" s="104" t="s">
        <v>953</v>
      </c>
      <c r="E6" s="110">
        <v>0.66</v>
      </c>
      <c r="F6" s="655"/>
    </row>
    <row r="7" spans="1:10" ht="21.9" customHeight="1" x14ac:dyDescent="0.25">
      <c r="B7" s="638"/>
      <c r="C7" s="638"/>
      <c r="D7" s="104" t="s">
        <v>912</v>
      </c>
      <c r="E7" s="111">
        <f>SUM(E10:E226)</f>
        <v>16435</v>
      </c>
      <c r="F7" s="655"/>
    </row>
    <row r="8" spans="1:10" s="131" customFormat="1" ht="21.9" customHeight="1" x14ac:dyDescent="0.25">
      <c r="B8" s="136" t="str">
        <f>'[11]Type 2 Attr'!D5</f>
        <v>ARMORY</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52" t="s">
        <v>1281</v>
      </c>
      <c r="C10" s="211">
        <v>4</v>
      </c>
      <c r="D10" s="105">
        <v>2000</v>
      </c>
      <c r="E10" s="111">
        <f>IF(C10="","",D10*C10)</f>
        <v>8000</v>
      </c>
      <c r="F10" s="301"/>
    </row>
    <row r="11" spans="1:10" ht="21.9" customHeight="1" x14ac:dyDescent="0.25">
      <c r="B11" s="552" t="s">
        <v>1282</v>
      </c>
      <c r="C11" s="211">
        <v>1</v>
      </c>
      <c r="D11" s="105">
        <v>2000</v>
      </c>
      <c r="E11" s="111">
        <f t="shared" ref="E11:E74" si="0">IF(C11="","",D11*C11)</f>
        <v>2000</v>
      </c>
      <c r="F11" s="301"/>
    </row>
    <row r="12" spans="1:10" ht="21.9" customHeight="1" x14ac:dyDescent="0.25">
      <c r="B12" s="552" t="s">
        <v>1283</v>
      </c>
      <c r="C12" s="211">
        <v>3</v>
      </c>
      <c r="D12" s="105">
        <v>240</v>
      </c>
      <c r="E12" s="111">
        <f t="shared" si="0"/>
        <v>720</v>
      </c>
      <c r="F12" s="301"/>
    </row>
    <row r="13" spans="1:10" ht="21.9" customHeight="1" x14ac:dyDescent="0.25">
      <c r="B13" s="552" t="s">
        <v>1284</v>
      </c>
      <c r="C13" s="211">
        <v>2</v>
      </c>
      <c r="D13" s="105">
        <v>120</v>
      </c>
      <c r="E13" s="111">
        <f t="shared" si="0"/>
        <v>240</v>
      </c>
      <c r="F13" s="301"/>
      <c r="J13" s="98"/>
    </row>
    <row r="14" spans="1:10" ht="21.9" customHeight="1" x14ac:dyDescent="0.25">
      <c r="B14" s="552" t="s">
        <v>1285</v>
      </c>
      <c r="C14" s="211">
        <v>1</v>
      </c>
      <c r="D14" s="105">
        <v>245</v>
      </c>
      <c r="E14" s="111">
        <f t="shared" si="0"/>
        <v>245</v>
      </c>
      <c r="F14" s="301"/>
    </row>
    <row r="15" spans="1:10" ht="21.9" customHeight="1" x14ac:dyDescent="0.25">
      <c r="B15" s="552" t="s">
        <v>1286</v>
      </c>
      <c r="C15" s="211">
        <v>12</v>
      </c>
      <c r="D15" s="105">
        <v>240</v>
      </c>
      <c r="E15" s="111">
        <f t="shared" si="0"/>
        <v>2880</v>
      </c>
      <c r="F15" s="301"/>
    </row>
    <row r="16" spans="1:10" ht="21.9" customHeight="1" x14ac:dyDescent="0.25">
      <c r="B16" s="552" t="s">
        <v>1287</v>
      </c>
      <c r="C16" s="211">
        <v>1</v>
      </c>
      <c r="D16" s="105">
        <v>1000</v>
      </c>
      <c r="E16" s="111">
        <f t="shared" si="0"/>
        <v>1000</v>
      </c>
      <c r="F16" s="210"/>
    </row>
    <row r="17" spans="2:6" ht="21.9" customHeight="1" x14ac:dyDescent="0.25">
      <c r="B17" s="552" t="s">
        <v>1288</v>
      </c>
      <c r="C17" s="211">
        <v>3</v>
      </c>
      <c r="D17" s="105">
        <v>450</v>
      </c>
      <c r="E17" s="111">
        <f t="shared" si="0"/>
        <v>1350</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G17" sqref="G1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60"/>
      <c r="B3" s="642"/>
      <c r="C3" s="640"/>
      <c r="AG3" s="408" t="s">
        <v>977</v>
      </c>
    </row>
    <row r="4" spans="1:45" s="404" customFormat="1" ht="33" customHeight="1" thickBot="1" x14ac:dyDescent="0.3">
      <c r="C4" s="137" t="s">
        <v>957</v>
      </c>
      <c r="AG4" s="404" t="s">
        <v>976</v>
      </c>
    </row>
    <row r="5" spans="1:45" s="404" customFormat="1" ht="21.9" customHeight="1" thickBot="1" x14ac:dyDescent="0.3">
      <c r="A5" s="219" t="s">
        <v>1097</v>
      </c>
      <c r="B5" s="555" t="s">
        <v>976</v>
      </c>
      <c r="C5" s="219" t="s">
        <v>1096</v>
      </c>
      <c r="D5" s="555" t="s">
        <v>164</v>
      </c>
    </row>
    <row r="6" spans="1:45" ht="18" customHeight="1" thickBot="1" x14ac:dyDescent="0.3">
      <c r="A6" s="427"/>
      <c r="B6" s="223"/>
      <c r="C6" s="186"/>
      <c r="D6" s="186"/>
      <c r="AB6" s="420"/>
      <c r="AC6" s="420"/>
      <c r="AD6" s="421"/>
      <c r="AE6" s="422" t="s">
        <v>683</v>
      </c>
      <c r="AH6" s="421"/>
      <c r="AI6" s="421"/>
      <c r="AJ6" s="421"/>
      <c r="AK6" s="421"/>
      <c r="AL6" s="421"/>
      <c r="AM6" s="421"/>
      <c r="AN6" s="421"/>
      <c r="AO6" s="421"/>
      <c r="AP6" s="421"/>
      <c r="AQ6" s="421"/>
      <c r="AR6" s="421"/>
      <c r="AS6" s="12"/>
    </row>
    <row r="7" spans="1:45" ht="21.9" customHeight="1" thickBot="1" x14ac:dyDescent="0.3">
      <c r="A7" s="224" t="s">
        <v>716</v>
      </c>
      <c r="B7" s="555"/>
      <c r="C7" s="555"/>
      <c r="D7" s="555"/>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225"/>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225"/>
      <c r="B9" s="697"/>
      <c r="C9" s="698"/>
      <c r="D9" s="699"/>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226"/>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224" t="s">
        <v>717</v>
      </c>
      <c r="B11" s="555" t="s">
        <v>961</v>
      </c>
      <c r="C11" s="555"/>
      <c r="D11" s="555"/>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225"/>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225"/>
      <c r="B13" s="697"/>
      <c r="C13" s="698"/>
      <c r="D13" s="699"/>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226"/>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224" t="s">
        <v>718</v>
      </c>
      <c r="B15" s="555" t="s">
        <v>692</v>
      </c>
      <c r="C15" s="555"/>
      <c r="D15" s="555"/>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225"/>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225"/>
      <c r="B17" s="697"/>
      <c r="C17" s="698"/>
      <c r="D17" s="699"/>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226"/>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224" t="s">
        <v>719</v>
      </c>
      <c r="B19" s="555"/>
      <c r="C19" s="555"/>
      <c r="D19" s="555"/>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225"/>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225"/>
      <c r="B21" s="697"/>
      <c r="C21" s="698"/>
      <c r="D21" s="699"/>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22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228"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225"/>
      <c r="B24" s="555"/>
      <c r="C24" s="555"/>
      <c r="D24" s="555"/>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225"/>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225"/>
      <c r="B26" s="697"/>
      <c r="C26" s="698"/>
      <c r="D26" s="699"/>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226"/>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224"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225"/>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225"/>
      <c r="B30" s="697"/>
      <c r="C30" s="698"/>
      <c r="D30" s="699"/>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226"/>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228" t="s">
        <v>682</v>
      </c>
      <c r="B32" s="555"/>
      <c r="C32" s="555"/>
      <c r="D32" s="555"/>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225"/>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225"/>
      <c r="B34" s="697"/>
      <c r="C34" s="698"/>
      <c r="D34" s="699"/>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226"/>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228"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225"/>
      <c r="B37" s="697"/>
      <c r="C37" s="698"/>
      <c r="D37" s="699"/>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226"/>
      <c r="B38" s="213"/>
      <c r="C38" s="213"/>
      <c r="D38" s="214"/>
      <c r="AH38" s="426"/>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Overview!$AA$5:$AA$156</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IW51"/>
  <sheetViews>
    <sheetView zoomScaleNormal="100" zoomScaleSheetLayoutView="100" workbookViewId="0">
      <selection activeCell="D13" sqref="D13"/>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705" t="s">
        <v>1121</v>
      </c>
      <c r="B6" s="706"/>
      <c r="C6" s="707"/>
      <c r="D6" s="259" t="s">
        <v>1289</v>
      </c>
      <c r="F6" s="38"/>
    </row>
    <row r="7" spans="1:257" ht="18" customHeight="1" x14ac:dyDescent="0.25">
      <c r="A7" s="705" t="s">
        <v>414</v>
      </c>
      <c r="B7" s="706"/>
      <c r="C7" s="707"/>
      <c r="D7" s="50" t="str">
        <f>Overview!C14</f>
        <v>Richmond</v>
      </c>
      <c r="R7" s="37" t="s">
        <v>349</v>
      </c>
    </row>
    <row r="8" spans="1:257" ht="18" customHeight="1" x14ac:dyDescent="0.25">
      <c r="A8" s="708" t="s">
        <v>1137</v>
      </c>
      <c r="B8" s="708"/>
      <c r="C8" s="707"/>
      <c r="D8" s="40">
        <f>HCI!GH6</f>
        <v>241.7</v>
      </c>
    </row>
    <row r="9" spans="1:257" s="47" customFormat="1" ht="18" customHeight="1" thickBot="1" x14ac:dyDescent="0.3">
      <c r="B9" s="45"/>
      <c r="C9" s="260"/>
    </row>
    <row r="10" spans="1:257" s="404" customFormat="1" ht="18" customHeight="1" thickBot="1" x14ac:dyDescent="0.3">
      <c r="A10" s="238"/>
      <c r="B10" s="238"/>
      <c r="C10" s="238"/>
      <c r="D10" s="238"/>
      <c r="E10" s="709" t="s">
        <v>1138</v>
      </c>
      <c r="F10" s="710"/>
      <c r="G10" s="710"/>
      <c r="H10" s="711"/>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t="s">
        <v>1290</v>
      </c>
      <c r="F13" s="39" t="s">
        <v>1291</v>
      </c>
      <c r="G13" s="39" t="s">
        <v>1292</v>
      </c>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t="s">
        <v>1293</v>
      </c>
      <c r="F14" s="39" t="s">
        <v>1294</v>
      </c>
      <c r="G14" s="39" t="s">
        <v>1295</v>
      </c>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t="s">
        <v>1296</v>
      </c>
      <c r="F15" s="39" t="s">
        <v>1297</v>
      </c>
      <c r="G15" s="39" t="s">
        <v>1298</v>
      </c>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v>41456</v>
      </c>
      <c r="F16" s="42">
        <v>39630</v>
      </c>
      <c r="G16" s="42">
        <v>39630</v>
      </c>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v>50000</v>
      </c>
      <c r="F19" s="43">
        <v>72000</v>
      </c>
      <c r="G19" s="43">
        <v>65000</v>
      </c>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f>190*50000</f>
        <v>9500000</v>
      </c>
      <c r="F25" s="44">
        <f>72000*143</f>
        <v>10296000</v>
      </c>
      <c r="G25" s="44">
        <f>65000*142</f>
        <v>9230000</v>
      </c>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f>IF(E25="","",(E25+E26)/E19)</f>
        <v>190</v>
      </c>
      <c r="F27" s="246">
        <f>IF(F25="","",(F25+F26)/F19)</f>
        <v>143</v>
      </c>
      <c r="G27" s="246">
        <f>IF(G25="","",(G25+G26)/G19)</f>
        <v>142</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712" t="s">
        <v>418</v>
      </c>
      <c r="D31" s="713"/>
      <c r="E31" s="246" t="str">
        <f>IF(E30="","",($D$8/E30)*E27)</f>
        <v/>
      </c>
      <c r="F31" s="246" t="str">
        <f>IF(F30="","",($D$8/F30)*F27)</f>
        <v/>
      </c>
      <c r="G31" s="246" t="str">
        <f>IF(G30="","",($D$8/G30)*G27)</f>
        <v/>
      </c>
      <c r="H31" s="254">
        <f>Escalation!J6</f>
        <v>379.06749609248106</v>
      </c>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714" t="s">
        <v>1125</v>
      </c>
      <c r="B34" s="715"/>
      <c r="C34" s="715"/>
      <c r="D34" s="715"/>
      <c r="E34" s="634"/>
      <c r="F34" s="634"/>
      <c r="G34" s="634"/>
      <c r="H34" s="634"/>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t="str">
        <f>IF(E31="","",E31+SUM(E36:E39))</f>
        <v/>
      </c>
      <c r="F41" s="246" t="str">
        <f>IF(F31="","",F31+SUM(F36:F39))</f>
        <v/>
      </c>
      <c r="G41" s="246" t="str">
        <f>IF(G31="","",G31+SUM(G36:G39))</f>
        <v/>
      </c>
      <c r="H41" s="246">
        <f>IF(H31="","",H31+SUM(H36:H39))</f>
        <v>379.06749609248106</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t="str">
        <f>IF(E41="","",E41)</f>
        <v/>
      </c>
      <c r="F44" s="256" t="str">
        <f>IF(F41="","",F41)</f>
        <v/>
      </c>
      <c r="G44" s="256" t="str">
        <f>IF(G41="","",G41)</f>
        <v/>
      </c>
      <c r="H44" s="257">
        <f>IF(H41="","",H41)</f>
        <v>379.06749609248106</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700" t="s">
        <v>1151</v>
      </c>
      <c r="D45" s="701"/>
      <c r="E45" s="702">
        <f>IF(AND(E44="",F44="",G44="",H44=""),0,SUM((E44:H44))/D50)</f>
        <v>379.06749609248106</v>
      </c>
      <c r="F45" s="703"/>
      <c r="G45" s="703"/>
      <c r="H45" s="704"/>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1</v>
      </c>
      <c r="E50" s="263">
        <f>IF(E41="",0,1)</f>
        <v>0</v>
      </c>
      <c r="F50" s="263">
        <f>IF(F41="",0,1)</f>
        <v>0</v>
      </c>
      <c r="G50" s="263">
        <f>IF(G41="",0,1)</f>
        <v>0</v>
      </c>
      <c r="H50" s="263">
        <f>IF(H41="",0,1)</f>
        <v>1</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fvh+OV8bi+GfRkRHYsGhXOgdHitmWtHRksT8OBauFkOdxbxd0kllwWCI2msG6Jm75vrekPLyE7PSIUTx98rDmg==" saltValue="jVnlHSC8ov3KiBzQ67PwoA=="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27" priority="16" operator="containsText" text="Selected">
      <formula>NOT(ISERROR(SEARCH("Selected",C9)))</formula>
    </cfRule>
    <cfRule type="containsText" dxfId="26" priority="17" operator="containsText" text="No">
      <formula>NOT(ISERROR(SEARCH("No",C9)))</formula>
    </cfRule>
  </conditionalFormatting>
  <conditionalFormatting sqref="E31:G31 E17:G18 E45 E29:H29 E10 E32:H33 E12:H12 A10:D43 E35:H44 A44:B45 D44 E21:G24 G20 E26:G28 H30">
    <cfRule type="expression" dxfId="25" priority="15">
      <formula>#REF!="Database"</formula>
    </cfRule>
  </conditionalFormatting>
  <conditionalFormatting sqref="H31">
    <cfRule type="expression" dxfId="24" priority="14">
      <formula>#REF!="Database"</formula>
    </cfRule>
  </conditionalFormatting>
  <conditionalFormatting sqref="H13:H28">
    <cfRule type="expression" dxfId="23" priority="13">
      <formula>#REF!="Database"</formula>
    </cfRule>
  </conditionalFormatting>
  <conditionalFormatting sqref="E11:G11">
    <cfRule type="expression" dxfId="22" priority="12">
      <formula>#REF!="Database"</formula>
    </cfRule>
  </conditionalFormatting>
  <conditionalFormatting sqref="C44">
    <cfRule type="expression" dxfId="21" priority="11">
      <formula>#REF!="Database"</formula>
    </cfRule>
  </conditionalFormatting>
  <conditionalFormatting sqref="C45">
    <cfRule type="expression" dxfId="20" priority="10">
      <formula>#REF!="Database"</formula>
    </cfRule>
  </conditionalFormatting>
  <conditionalFormatting sqref="E20:F20">
    <cfRule type="expression" dxfId="19" priority="9">
      <formula>#REF!="Database"</formula>
    </cfRule>
  </conditionalFormatting>
  <conditionalFormatting sqref="E30:G30">
    <cfRule type="expression" dxfId="18" priority="5">
      <formula>#REF!="Database"</formula>
    </cfRule>
  </conditionalFormatting>
  <conditionalFormatting sqref="H11">
    <cfRule type="expression" dxfId="17" priority="4">
      <formula>#REF!="Database"</formula>
    </cfRule>
  </conditionalFormatting>
  <conditionalFormatting sqref="E13:G16">
    <cfRule type="expression" dxfId="16" priority="3">
      <formula>#REF!="Database"</formula>
    </cfRule>
  </conditionalFormatting>
  <conditionalFormatting sqref="E19:G19">
    <cfRule type="expression" dxfId="15" priority="2">
      <formula>#REF!="Database"</formula>
    </cfRule>
  </conditionalFormatting>
  <conditionalFormatting sqref="E25:G25">
    <cfRule type="expression" dxfId="14"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B8" sqref="B8"/>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39" t="s">
        <v>1118</v>
      </c>
      <c r="B1" s="640"/>
      <c r="C1" s="182"/>
      <c r="D1" s="183"/>
      <c r="E1" s="183"/>
      <c r="F1" s="181"/>
    </row>
    <row r="2" spans="1:10" s="34" customFormat="1" ht="21.9" customHeight="1" x14ac:dyDescent="0.25">
      <c r="A2" s="53"/>
      <c r="B2" s="75"/>
      <c r="C2" s="54"/>
      <c r="D2" s="55"/>
      <c r="F2" s="68"/>
      <c r="G2" s="57"/>
    </row>
    <row r="3" spans="1:10" s="34" customFormat="1" ht="21.9" customHeight="1" x14ac:dyDescent="0.25">
      <c r="A3" s="693"/>
      <c r="B3" s="694"/>
      <c r="C3" s="56"/>
      <c r="D3" s="41"/>
      <c r="F3" s="68"/>
      <c r="G3" s="56"/>
    </row>
    <row r="4" spans="1:10" s="34" customFormat="1" ht="21.9" customHeight="1" x14ac:dyDescent="0.25">
      <c r="A4" s="51"/>
      <c r="B4" s="76" t="s">
        <v>952</v>
      </c>
      <c r="C4" s="56"/>
      <c r="D4" s="41"/>
      <c r="F4" s="68"/>
      <c r="G4" s="56"/>
    </row>
    <row r="5" spans="1:10" ht="21.9" customHeight="1" x14ac:dyDescent="0.25">
      <c r="B5" s="716" t="s">
        <v>1300</v>
      </c>
      <c r="C5" s="717"/>
      <c r="D5" s="101" t="s">
        <v>954</v>
      </c>
      <c r="E5" s="109">
        <f>E7/E6</f>
        <v>133333.33333333334</v>
      </c>
      <c r="F5" s="696"/>
    </row>
    <row r="6" spans="1:10" ht="21.9" customHeight="1" x14ac:dyDescent="0.25">
      <c r="B6" s="718"/>
      <c r="C6" s="719"/>
      <c r="D6" s="104" t="s">
        <v>953</v>
      </c>
      <c r="E6" s="110">
        <v>0.6</v>
      </c>
      <c r="F6" s="655"/>
    </row>
    <row r="7" spans="1:10" ht="21.9" customHeight="1" x14ac:dyDescent="0.25">
      <c r="B7" s="720"/>
      <c r="C7" s="721"/>
      <c r="D7" s="104" t="s">
        <v>912</v>
      </c>
      <c r="E7" s="111">
        <f>SUM(E10:E226)</f>
        <v>80000</v>
      </c>
      <c r="F7" s="655"/>
    </row>
    <row r="8" spans="1:10" s="131" customFormat="1" ht="21.9" customHeight="1" x14ac:dyDescent="0.25">
      <c r="B8" s="136" t="str">
        <f>'Type 3 Attr'!D5</f>
        <v>PARKING STRUCTURE</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52" t="s">
        <v>1299</v>
      </c>
      <c r="C10" s="211">
        <v>400</v>
      </c>
      <c r="D10" s="105">
        <v>200</v>
      </c>
      <c r="E10" s="111">
        <f>IF(C10="","",D10*C10)</f>
        <v>80000</v>
      </c>
      <c r="F10" s="301"/>
    </row>
    <row r="11" spans="1:10" ht="21.9" customHeight="1" x14ac:dyDescent="0.25">
      <c r="B11" s="397"/>
      <c r="C11" s="211"/>
      <c r="D11" s="105"/>
      <c r="E11" s="111" t="str">
        <f t="shared" ref="E11:E74" si="0">IF(C11="","",D11*C11)</f>
        <v/>
      </c>
      <c r="F11" s="210"/>
    </row>
    <row r="12" spans="1:10" ht="21.9" customHeight="1" x14ac:dyDescent="0.25">
      <c r="B12" s="397"/>
      <c r="C12" s="211"/>
      <c r="D12" s="105"/>
      <c r="E12" s="111" t="str">
        <f t="shared" si="0"/>
        <v/>
      </c>
      <c r="F12" s="210"/>
    </row>
    <row r="13" spans="1:10" ht="21.9" customHeight="1" x14ac:dyDescent="0.25">
      <c r="B13" s="397"/>
      <c r="C13" s="211"/>
      <c r="D13" s="105"/>
      <c r="E13" s="111" t="str">
        <f t="shared" si="0"/>
        <v/>
      </c>
      <c r="F13" s="210"/>
      <c r="J13" s="98"/>
    </row>
    <row r="14" spans="1:10" ht="21.9" customHeight="1" x14ac:dyDescent="0.25">
      <c r="B14" s="397"/>
      <c r="C14" s="211"/>
      <c r="D14" s="105"/>
      <c r="E14" s="111" t="str">
        <f t="shared" si="0"/>
        <v/>
      </c>
      <c r="F14" s="210"/>
    </row>
    <row r="15" spans="1:10" ht="21.9" customHeight="1" x14ac:dyDescent="0.25">
      <c r="B15" s="397"/>
      <c r="C15" s="211"/>
      <c r="D15" s="105"/>
      <c r="E15" s="111" t="str">
        <f t="shared" si="0"/>
        <v/>
      </c>
      <c r="F15" s="210"/>
    </row>
    <row r="16" spans="1:10" ht="21.9" customHeight="1" x14ac:dyDescent="0.25">
      <c r="B16" s="397"/>
      <c r="C16" s="211"/>
      <c r="D16" s="105"/>
      <c r="E16" s="111" t="str">
        <f t="shared" si="0"/>
        <v/>
      </c>
      <c r="F16" s="210"/>
    </row>
    <row r="17" spans="2:6" ht="21.9" customHeight="1" x14ac:dyDescent="0.25">
      <c r="B17" s="397"/>
      <c r="C17" s="211"/>
      <c r="D17" s="105"/>
      <c r="E17" s="111" t="str">
        <f t="shared" si="0"/>
        <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397"/>
      <c r="C24" s="211"/>
      <c r="D24" s="105"/>
      <c r="E24" s="111" t="str">
        <f t="shared" si="0"/>
        <v/>
      </c>
      <c r="F24" s="210"/>
    </row>
    <row r="25" spans="2:6" ht="21.9" customHeight="1" x14ac:dyDescent="0.25">
      <c r="B25" s="397"/>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ref="E42:E52" si="1">IF(C42="","",D42*C42)</f>
        <v/>
      </c>
      <c r="F42" s="210"/>
    </row>
    <row r="43" spans="2:6" ht="21.9" customHeight="1" x14ac:dyDescent="0.25">
      <c r="B43" s="210"/>
      <c r="C43" s="211"/>
      <c r="D43" s="105"/>
      <c r="E43" s="111" t="str">
        <f t="shared" si="1"/>
        <v/>
      </c>
      <c r="F43" s="210"/>
    </row>
    <row r="44" spans="2:6" ht="21.9" customHeight="1" x14ac:dyDescent="0.25">
      <c r="B44" s="210"/>
      <c r="C44" s="211"/>
      <c r="D44" s="105"/>
      <c r="E44" s="111" t="str">
        <f t="shared" si="1"/>
        <v/>
      </c>
      <c r="F44" s="210"/>
    </row>
    <row r="45" spans="2:6" ht="21.9" customHeight="1" x14ac:dyDescent="0.25">
      <c r="B45" s="210"/>
      <c r="C45" s="211"/>
      <c r="D45" s="105"/>
      <c r="E45" s="111" t="str">
        <f t="shared" si="1"/>
        <v/>
      </c>
      <c r="F45" s="210"/>
    </row>
    <row r="46" spans="2:6" ht="21.9" customHeight="1" x14ac:dyDescent="0.25">
      <c r="B46" s="210"/>
      <c r="C46" s="211"/>
      <c r="D46" s="105"/>
      <c r="E46" s="111" t="str">
        <f t="shared" si="1"/>
        <v/>
      </c>
      <c r="F46" s="210"/>
    </row>
    <row r="47" spans="2:6" ht="21.9" customHeight="1" x14ac:dyDescent="0.25">
      <c r="B47" s="210"/>
      <c r="C47" s="211"/>
      <c r="D47" s="105"/>
      <c r="E47" s="111" t="str">
        <f t="shared" si="1"/>
        <v/>
      </c>
      <c r="F47" s="210"/>
    </row>
    <row r="48" spans="2:6" ht="21.9" customHeight="1" x14ac:dyDescent="0.25">
      <c r="B48" s="210"/>
      <c r="C48" s="211"/>
      <c r="D48" s="105"/>
      <c r="E48" s="111" t="str">
        <f t="shared" si="1"/>
        <v/>
      </c>
      <c r="F48" s="210"/>
    </row>
    <row r="49" spans="2:6" ht="21.9" customHeight="1" x14ac:dyDescent="0.25">
      <c r="B49" s="210"/>
      <c r="C49" s="211"/>
      <c r="D49" s="105"/>
      <c r="E49" s="111" t="str">
        <f t="shared" si="1"/>
        <v/>
      </c>
      <c r="F49" s="210"/>
    </row>
    <row r="50" spans="2:6" ht="21.9" customHeight="1" x14ac:dyDescent="0.25">
      <c r="B50" s="210"/>
      <c r="C50" s="211"/>
      <c r="D50" s="105"/>
      <c r="E50" s="111" t="str">
        <f t="shared" si="1"/>
        <v/>
      </c>
      <c r="F50" s="210"/>
    </row>
    <row r="51" spans="2:6" ht="21.9" customHeight="1" x14ac:dyDescent="0.25">
      <c r="B51" s="210"/>
      <c r="C51" s="211"/>
      <c r="D51" s="105"/>
      <c r="E51" s="111" t="str">
        <f t="shared" si="1"/>
        <v/>
      </c>
      <c r="F51" s="210"/>
    </row>
    <row r="52" spans="2:6" ht="21.9" customHeight="1" x14ac:dyDescent="0.25">
      <c r="B52" s="210"/>
      <c r="C52" s="211"/>
      <c r="D52" s="105"/>
      <c r="E52" s="111" t="str">
        <f t="shared" si="1"/>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E17" sqref="E1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60"/>
      <c r="B3" s="642"/>
      <c r="C3" s="640"/>
      <c r="AG3" s="408" t="s">
        <v>977</v>
      </c>
    </row>
    <row r="4" spans="1:45" s="404" customFormat="1" ht="33" customHeight="1" thickBot="1" x14ac:dyDescent="0.3">
      <c r="C4" s="137" t="s">
        <v>957</v>
      </c>
      <c r="AG4" s="404" t="s">
        <v>976</v>
      </c>
    </row>
    <row r="5" spans="1:45" s="404" customFormat="1" ht="21.9" customHeight="1" thickBot="1" x14ac:dyDescent="0.3">
      <c r="A5" s="219" t="s">
        <v>1097</v>
      </c>
      <c r="B5" s="555" t="s">
        <v>977</v>
      </c>
      <c r="C5" s="219" t="s">
        <v>1096</v>
      </c>
      <c r="D5" s="555" t="s">
        <v>1048</v>
      </c>
    </row>
    <row r="6" spans="1:45" ht="18" customHeight="1" thickBot="1" x14ac:dyDescent="0.3">
      <c r="A6" s="427"/>
      <c r="B6" s="223"/>
      <c r="C6" s="186"/>
      <c r="D6" s="186"/>
      <c r="AB6" s="420"/>
      <c r="AC6" s="420"/>
      <c r="AD6" s="421"/>
      <c r="AE6" s="422" t="s">
        <v>683</v>
      </c>
      <c r="AH6" s="421"/>
      <c r="AI6" s="421"/>
      <c r="AJ6" s="421"/>
      <c r="AK6" s="421"/>
      <c r="AL6" s="421"/>
      <c r="AM6" s="421"/>
      <c r="AN6" s="421"/>
      <c r="AO6" s="421"/>
      <c r="AP6" s="421"/>
      <c r="AQ6" s="421"/>
      <c r="AR6" s="421"/>
      <c r="AS6" s="12"/>
    </row>
    <row r="7" spans="1:45" ht="21.9" customHeight="1" thickBot="1" x14ac:dyDescent="0.3">
      <c r="A7" s="224" t="s">
        <v>716</v>
      </c>
      <c r="B7" s="555" t="s">
        <v>723</v>
      </c>
      <c r="C7" s="555"/>
      <c r="D7" s="555"/>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225"/>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225"/>
      <c r="B9" s="697"/>
      <c r="C9" s="698"/>
      <c r="D9" s="699"/>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226"/>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224" t="s">
        <v>717</v>
      </c>
      <c r="B11" s="555" t="s">
        <v>696</v>
      </c>
      <c r="C11" s="555" t="s">
        <v>961</v>
      </c>
      <c r="D11" s="555"/>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225"/>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225"/>
      <c r="B13" s="697"/>
      <c r="C13" s="698"/>
      <c r="D13" s="699"/>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226"/>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224" t="s">
        <v>718</v>
      </c>
      <c r="B15" s="555"/>
      <c r="C15" s="555"/>
      <c r="D15" s="555"/>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225"/>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225"/>
      <c r="B17" s="697"/>
      <c r="C17" s="698"/>
      <c r="D17" s="699"/>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226"/>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224" t="s">
        <v>719</v>
      </c>
      <c r="B19" s="555"/>
      <c r="C19" s="555"/>
      <c r="D19" s="555"/>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225"/>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225"/>
      <c r="B21" s="697"/>
      <c r="C21" s="698"/>
      <c r="D21" s="699"/>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22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228"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225"/>
      <c r="B24" s="555"/>
      <c r="C24" s="555"/>
      <c r="D24" s="555"/>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225"/>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225"/>
      <c r="B26" s="697"/>
      <c r="C26" s="698"/>
      <c r="D26" s="699"/>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226"/>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224"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225"/>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225"/>
      <c r="B30" s="697"/>
      <c r="C30" s="698"/>
      <c r="D30" s="699"/>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226"/>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228" t="s">
        <v>682</v>
      </c>
      <c r="B32" s="555"/>
      <c r="C32" s="555"/>
      <c r="D32" s="555"/>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225"/>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225"/>
      <c r="B34" s="697"/>
      <c r="C34" s="698"/>
      <c r="D34" s="699"/>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226"/>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228"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225"/>
      <c r="B37" s="697"/>
      <c r="C37" s="698"/>
      <c r="D37" s="699"/>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226"/>
      <c r="B38" s="213"/>
      <c r="C38" s="213"/>
      <c r="D38" s="214"/>
      <c r="AH38" s="426"/>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Overview!$AA$5:$AA$156</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W51"/>
  <sheetViews>
    <sheetView topLeftCell="A7" zoomScaleNormal="100" zoomScaleSheetLayoutView="100" workbookViewId="0">
      <selection activeCell="E31" sqref="E3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705" t="s">
        <v>1121</v>
      </c>
      <c r="B6" s="706"/>
      <c r="C6" s="707"/>
      <c r="D6" s="259" t="s">
        <v>1301</v>
      </c>
      <c r="F6" s="38"/>
    </row>
    <row r="7" spans="1:257" ht="18" customHeight="1" x14ac:dyDescent="0.25">
      <c r="A7" s="705" t="s">
        <v>414</v>
      </c>
      <c r="B7" s="706"/>
      <c r="C7" s="707"/>
      <c r="D7" s="50" t="str">
        <f>Overview!C14</f>
        <v>Richmond</v>
      </c>
      <c r="R7" s="37" t="s">
        <v>349</v>
      </c>
    </row>
    <row r="8" spans="1:257" ht="18" customHeight="1" x14ac:dyDescent="0.25">
      <c r="A8" s="708" t="s">
        <v>1137</v>
      </c>
      <c r="B8" s="708"/>
      <c r="C8" s="707"/>
      <c r="D8" s="40">
        <f>HCI!GH6</f>
        <v>241.7</v>
      </c>
    </row>
    <row r="9" spans="1:257" s="47" customFormat="1" ht="18" customHeight="1" thickBot="1" x14ac:dyDescent="0.3">
      <c r="A9" s="502">
        <f>Overview!D30</f>
        <v>68693776.128008351</v>
      </c>
      <c r="B9" s="45"/>
      <c r="C9" s="497"/>
    </row>
    <row r="10" spans="1:257" s="404" customFormat="1" ht="18" customHeight="1" thickBot="1" x14ac:dyDescent="0.3">
      <c r="A10" s="238"/>
      <c r="B10" s="238"/>
      <c r="C10" s="498"/>
      <c r="D10" s="238"/>
      <c r="E10" s="709" t="s">
        <v>1138</v>
      </c>
      <c r="F10" s="710"/>
      <c r="G10" s="710"/>
      <c r="H10" s="711"/>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49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t="s">
        <v>1302</v>
      </c>
      <c r="F13" s="39" t="s">
        <v>1302</v>
      </c>
      <c r="G13" s="39" t="s">
        <v>1302</v>
      </c>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t="s">
        <v>1293</v>
      </c>
      <c r="F14" s="39" t="s">
        <v>1294</v>
      </c>
      <c r="G14" s="39" t="s">
        <v>1295</v>
      </c>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t="s">
        <v>1296</v>
      </c>
      <c r="F15" s="39" t="s">
        <v>1297</v>
      </c>
      <c r="G15" s="39" t="s">
        <v>1298</v>
      </c>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v>41456</v>
      </c>
      <c r="F16" s="42">
        <v>39630</v>
      </c>
      <c r="G16" s="42">
        <v>39630</v>
      </c>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v>50000</v>
      </c>
      <c r="F19" s="43">
        <v>72000</v>
      </c>
      <c r="G19" s="43">
        <v>65000</v>
      </c>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242"/>
      <c r="F20" s="242"/>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f>69*50000</f>
        <v>3450000</v>
      </c>
      <c r="F25" s="44">
        <f>72000*54</f>
        <v>3888000</v>
      </c>
      <c r="G25" s="44">
        <f>65000*54</f>
        <v>3510000</v>
      </c>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f>IF(E25="","",(E25+E26)/E19)</f>
        <v>69</v>
      </c>
      <c r="F27" s="246">
        <f>IF(F25="","",(F25+F26)/F19)</f>
        <v>54</v>
      </c>
      <c r="G27" s="246">
        <f>IF(G25="","",(G25+G26)/G19)</f>
        <v>54</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v>193.9</v>
      </c>
      <c r="F30" s="46">
        <v>150.80000000000001</v>
      </c>
      <c r="G30" s="46">
        <v>150.9</v>
      </c>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712" t="s">
        <v>418</v>
      </c>
      <c r="D31" s="713"/>
      <c r="E31" s="246">
        <f>IF(E30="","",($D$8/E30)*E27)</f>
        <v>86.009798865394529</v>
      </c>
      <c r="F31" s="246">
        <f>IF(F30="","",($D$8/F30)*F27)</f>
        <v>86.550397877984082</v>
      </c>
      <c r="G31" s="246">
        <f>IF(G30="","",($D$8/G30)*G27)</f>
        <v>86.493041749502979</v>
      </c>
      <c r="H31" s="254">
        <f>Escalation!J8</f>
        <v>97.436363432222251</v>
      </c>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714" t="s">
        <v>1125</v>
      </c>
      <c r="B34" s="715"/>
      <c r="C34" s="715"/>
      <c r="D34" s="715"/>
      <c r="E34" s="634"/>
      <c r="F34" s="634"/>
      <c r="G34" s="634"/>
      <c r="H34" s="634"/>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f>IF(E31="","",E31+SUM(E36:E39))</f>
        <v>86.009798865394529</v>
      </c>
      <c r="F41" s="246">
        <f>IF(F31="","",F31+SUM(F36:F39))</f>
        <v>86.550397877984082</v>
      </c>
      <c r="G41" s="246">
        <f>IF(G31="","",G31+SUM(G36:G39))</f>
        <v>86.493041749502979</v>
      </c>
      <c r="H41" s="246">
        <f>IF(H31="","",H31+SUM(H36:H39))</f>
        <v>97.436363432222251</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f>IF(E41="","",E41)</f>
        <v>86.009798865394529</v>
      </c>
      <c r="F44" s="256">
        <f>IF(F41="","",F41)</f>
        <v>86.550397877984082</v>
      </c>
      <c r="G44" s="256">
        <f>IF(G41="","",G41)</f>
        <v>86.493041749502979</v>
      </c>
      <c r="H44" s="257">
        <f>IF(H41="","",H41)</f>
        <v>97.436363432222251</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700" t="s">
        <v>1151</v>
      </c>
      <c r="D45" s="701"/>
      <c r="E45" s="702">
        <f>IF(AND(E44="",F44="",G44="",H44=""),0,SUM((E44:H44))/D50)</f>
        <v>89.12240048127596</v>
      </c>
      <c r="F45" s="703"/>
      <c r="G45" s="703"/>
      <c r="H45" s="704"/>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4</v>
      </c>
      <c r="E50" s="263">
        <f>IF(E41="",0,1)</f>
        <v>1</v>
      </c>
      <c r="F50" s="263">
        <f>IF(F41="",0,1)</f>
        <v>1</v>
      </c>
      <c r="G50" s="263">
        <f>IF(G41="",0,1)</f>
        <v>1</v>
      </c>
      <c r="H50" s="263">
        <f>IF(H41="",0,1)</f>
        <v>1</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jyC7scoRh77fxZ4b3V3DovwBuvOwcjd+nB7JODLG6B3O6SnsQotJeXPspdQ0U5EASs0OMWJ7jmdHp6kKCT+FmA==" saltValue="HjMzgGn0suzSDMr5JGIniQ==" spinCount="100000" sheet="1" objects="1" scenarios="1"/>
  <mergeCells count="8">
    <mergeCell ref="A6:C6"/>
    <mergeCell ref="A7:C7"/>
    <mergeCell ref="A8:C8"/>
    <mergeCell ref="C31:D31"/>
    <mergeCell ref="E45:H45"/>
    <mergeCell ref="E10:H10"/>
    <mergeCell ref="A34:H34"/>
    <mergeCell ref="C45:D45"/>
  </mergeCells>
  <conditionalFormatting sqref="C9">
    <cfRule type="containsText" dxfId="13" priority="15" operator="containsText" text="Selected">
      <formula>NOT(ISERROR(SEARCH("Selected",C9)))</formula>
    </cfRule>
    <cfRule type="containsText" dxfId="12" priority="16" operator="containsText" text="No">
      <formula>NOT(ISERROR(SEARCH("No",C9)))</formula>
    </cfRule>
  </conditionalFormatting>
  <conditionalFormatting sqref="A45:C45 E31:G31 E17:G18 E45 E29:H29 E10 E32:H33 E12:H12 A10:D43 E35:H44 A44:B44 D44 E22:G24 E27:G28 H30">
    <cfRule type="expression" dxfId="11" priority="14">
      <formula>#REF!="Database"</formula>
    </cfRule>
  </conditionalFormatting>
  <conditionalFormatting sqref="H31">
    <cfRule type="expression" dxfId="10" priority="13">
      <formula>#REF!="Database"</formula>
    </cfRule>
  </conditionalFormatting>
  <conditionalFormatting sqref="H13:H28">
    <cfRule type="expression" dxfId="9" priority="12">
      <formula>#REF!="Database"</formula>
    </cfRule>
  </conditionalFormatting>
  <conditionalFormatting sqref="E11:G11">
    <cfRule type="expression" dxfId="8" priority="11">
      <formula>#REF!="Database"</formula>
    </cfRule>
  </conditionalFormatting>
  <conditionalFormatting sqref="C44">
    <cfRule type="expression" dxfId="7" priority="10">
      <formula>#REF!="Database"</formula>
    </cfRule>
  </conditionalFormatting>
  <conditionalFormatting sqref="E20:G21">
    <cfRule type="expression" dxfId="6" priority="8">
      <formula>#REF!="Database"</formula>
    </cfRule>
  </conditionalFormatting>
  <conditionalFormatting sqref="E26:G26">
    <cfRule type="expression" dxfId="5" priority="7">
      <formula>#REF!="Database"</formula>
    </cfRule>
  </conditionalFormatting>
  <conditionalFormatting sqref="H11">
    <cfRule type="expression" dxfId="4" priority="5">
      <formula>#REF!="Database"</formula>
    </cfRule>
  </conditionalFormatting>
  <conditionalFormatting sqref="E13:G16">
    <cfRule type="expression" dxfId="3" priority="4">
      <formula>#REF!="Database"</formula>
    </cfRule>
  </conditionalFormatting>
  <conditionalFormatting sqref="E19:G19">
    <cfRule type="expression" dxfId="2" priority="3">
      <formula>#REF!="Database"</formula>
    </cfRule>
  </conditionalFormatting>
  <conditionalFormatting sqref="E25:G25">
    <cfRule type="expression" dxfId="1" priority="2">
      <formula>#REF!="Database"</formula>
    </cfRule>
  </conditionalFormatting>
  <conditionalFormatting sqref="E30:G30">
    <cfRule type="expression" dxfId="0"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pageSetUpPr fitToPage="1"/>
  </sheetPr>
  <dimension ref="A1:H81"/>
  <sheetViews>
    <sheetView zoomScaleNormal="100" zoomScaleSheetLayoutView="100" workbookViewId="0">
      <pane ySplit="8" topLeftCell="A9" activePane="bottomLeft" state="frozen"/>
      <selection activeCell="D56" sqref="D56"/>
      <selection pane="bottomLeft" activeCell="G19" sqref="G19"/>
    </sheetView>
  </sheetViews>
  <sheetFormatPr defaultColWidth="9.109375" defaultRowHeight="13.2" x14ac:dyDescent="0.25"/>
  <cols>
    <col min="1" max="1" width="7.5546875" style="58" customWidth="1"/>
    <col min="2" max="2" width="68.109375" style="58" customWidth="1"/>
    <col min="3" max="4" width="15.6640625" style="60" customWidth="1"/>
    <col min="5" max="6" width="15.6640625" style="61" customWidth="1"/>
    <col min="7" max="7" width="28.33203125" style="58" customWidth="1"/>
    <col min="8" max="16384" width="9.109375" style="58"/>
  </cols>
  <sheetData>
    <row r="1" spans="1:8" s="184" customFormat="1" ht="21.9" customHeight="1" x14ac:dyDescent="0.25">
      <c r="A1" s="639" t="s">
        <v>1118</v>
      </c>
      <c r="B1" s="640"/>
      <c r="C1" s="182"/>
      <c r="D1" s="182"/>
      <c r="E1" s="183"/>
      <c r="F1" s="183"/>
    </row>
    <row r="2" spans="1:8" s="34" customFormat="1" ht="21.9" customHeight="1" x14ac:dyDescent="0.25">
      <c r="A2" s="53"/>
      <c r="B2" s="54"/>
      <c r="C2" s="54"/>
      <c r="D2" s="54"/>
      <c r="E2" s="55"/>
      <c r="G2" s="56"/>
      <c r="H2" s="57"/>
    </row>
    <row r="3" spans="1:8" s="34" customFormat="1" ht="21.9" customHeight="1" x14ac:dyDescent="0.25">
      <c r="A3" s="693"/>
      <c r="B3" s="694"/>
      <c r="C3" s="56"/>
      <c r="D3" s="56"/>
      <c r="E3" s="41"/>
      <c r="G3" s="56"/>
      <c r="H3" s="56"/>
    </row>
    <row r="4" spans="1:8" s="34" customFormat="1" ht="21.9" customHeight="1" x14ac:dyDescent="0.25">
      <c r="A4" s="405"/>
      <c r="B4" s="52" t="s">
        <v>1145</v>
      </c>
      <c r="C4" s="56"/>
      <c r="D4" s="56"/>
      <c r="E4" s="41"/>
      <c r="G4" s="56"/>
      <c r="H4" s="56"/>
    </row>
    <row r="5" spans="1:8" ht="21.9" customHeight="1" x14ac:dyDescent="0.25">
      <c r="B5" s="695" t="s">
        <v>1303</v>
      </c>
      <c r="C5" s="638"/>
      <c r="D5" s="638"/>
      <c r="E5" s="101" t="s">
        <v>947</v>
      </c>
      <c r="F5" s="103">
        <f>F6*F7</f>
        <v>2088606.25</v>
      </c>
    </row>
    <row r="6" spans="1:8" ht="21.9" customHeight="1" x14ac:dyDescent="0.25">
      <c r="B6" s="638"/>
      <c r="C6" s="638"/>
      <c r="D6" s="638"/>
      <c r="E6" s="104" t="s">
        <v>951</v>
      </c>
      <c r="F6" s="105">
        <v>1.25</v>
      </c>
    </row>
    <row r="7" spans="1:8" ht="21.9" customHeight="1" x14ac:dyDescent="0.25">
      <c r="B7" s="638"/>
      <c r="C7" s="638"/>
      <c r="D7" s="638"/>
      <c r="E7" s="104" t="s">
        <v>948</v>
      </c>
      <c r="F7" s="106">
        <f>SUM(F9:F225)</f>
        <v>1670885</v>
      </c>
    </row>
    <row r="8" spans="1:8" s="59" customFormat="1" ht="21.9" customHeight="1" x14ac:dyDescent="0.25">
      <c r="B8" s="107" t="s">
        <v>949</v>
      </c>
      <c r="C8" s="108" t="s">
        <v>916</v>
      </c>
      <c r="D8" s="108" t="s">
        <v>959</v>
      </c>
      <c r="E8" s="102" t="s">
        <v>950</v>
      </c>
      <c r="F8" s="102" t="s">
        <v>912</v>
      </c>
    </row>
    <row r="9" spans="1:8" ht="21.9" customHeight="1" x14ac:dyDescent="0.25">
      <c r="B9" s="220"/>
      <c r="C9" s="221"/>
      <c r="D9" s="221"/>
      <c r="E9" s="222"/>
      <c r="F9" s="106" t="str">
        <f>IF(C9="","",E9*C9)</f>
        <v/>
      </c>
    </row>
    <row r="10" spans="1:8" ht="21.9" customHeight="1" x14ac:dyDescent="0.25">
      <c r="B10" s="303" t="s">
        <v>1304</v>
      </c>
      <c r="C10" s="221"/>
      <c r="D10" s="221"/>
      <c r="E10" s="222"/>
      <c r="F10" s="106" t="str">
        <f>IF(C10="","",E10*C10)</f>
        <v/>
      </c>
    </row>
    <row r="11" spans="1:8" ht="21.9" customHeight="1" x14ac:dyDescent="0.25">
      <c r="B11" s="220" t="s">
        <v>1305</v>
      </c>
      <c r="C11" s="221">
        <v>45000</v>
      </c>
      <c r="D11" s="221" t="s">
        <v>1306</v>
      </c>
      <c r="E11" s="222">
        <v>7</v>
      </c>
      <c r="F11" s="106">
        <f t="shared" ref="F11:F74" si="0">IF(C11="","",E11*C11)</f>
        <v>315000</v>
      </c>
    </row>
    <row r="12" spans="1:8" ht="21.9" customHeight="1" x14ac:dyDescent="0.25">
      <c r="B12" s="220" t="s">
        <v>1307</v>
      </c>
      <c r="C12" s="221">
        <v>45000</v>
      </c>
      <c r="D12" s="221" t="s">
        <v>1306</v>
      </c>
      <c r="E12" s="222">
        <v>28</v>
      </c>
      <c r="F12" s="106">
        <f t="shared" si="0"/>
        <v>1260000</v>
      </c>
    </row>
    <row r="13" spans="1:8" ht="21.9" customHeight="1" x14ac:dyDescent="0.25">
      <c r="B13" s="220"/>
      <c r="C13" s="221"/>
      <c r="D13" s="221"/>
      <c r="E13" s="222"/>
      <c r="F13" s="106" t="str">
        <f>IF(C13="","",E13*C13)</f>
        <v/>
      </c>
    </row>
    <row r="14" spans="1:8" ht="21.9" customHeight="1" x14ac:dyDescent="0.25">
      <c r="B14" s="303" t="s">
        <v>1308</v>
      </c>
      <c r="C14" s="221"/>
      <c r="D14" s="221"/>
      <c r="E14" s="222"/>
      <c r="F14" s="106" t="str">
        <f t="shared" si="0"/>
        <v/>
      </c>
    </row>
    <row r="15" spans="1:8" ht="21.9" customHeight="1" x14ac:dyDescent="0.25">
      <c r="B15" s="220" t="s">
        <v>1309</v>
      </c>
      <c r="C15" s="221">
        <v>1</v>
      </c>
      <c r="D15" s="221" t="s">
        <v>1310</v>
      </c>
      <c r="E15" s="222">
        <v>2200</v>
      </c>
      <c r="F15" s="106">
        <f t="shared" si="0"/>
        <v>2200</v>
      </c>
    </row>
    <row r="16" spans="1:8" ht="21.9" customHeight="1" x14ac:dyDescent="0.25">
      <c r="B16" s="220" t="s">
        <v>1311</v>
      </c>
      <c r="C16" s="221">
        <v>5</v>
      </c>
      <c r="D16" s="221" t="s">
        <v>1306</v>
      </c>
      <c r="E16" s="222">
        <v>85</v>
      </c>
      <c r="F16" s="106">
        <f t="shared" si="0"/>
        <v>425</v>
      </c>
    </row>
    <row r="17" spans="2:6" ht="21.9" customHeight="1" x14ac:dyDescent="0.25">
      <c r="B17" s="220" t="s">
        <v>1312</v>
      </c>
      <c r="C17" s="221">
        <v>1</v>
      </c>
      <c r="D17" s="221" t="s">
        <v>1310</v>
      </c>
      <c r="E17" s="222">
        <v>5000</v>
      </c>
      <c r="F17" s="106">
        <f t="shared" si="0"/>
        <v>5000</v>
      </c>
    </row>
    <row r="18" spans="2:6" ht="21.9" customHeight="1" x14ac:dyDescent="0.25">
      <c r="B18" s="220" t="s">
        <v>1313</v>
      </c>
      <c r="C18" s="221">
        <v>10000</v>
      </c>
      <c r="D18" s="221" t="s">
        <v>1314</v>
      </c>
      <c r="E18" s="222">
        <v>3</v>
      </c>
      <c r="F18" s="106">
        <f t="shared" si="0"/>
        <v>30000</v>
      </c>
    </row>
    <row r="19" spans="2:6" ht="21.9" customHeight="1" x14ac:dyDescent="0.25">
      <c r="B19" s="220" t="s">
        <v>1315</v>
      </c>
      <c r="C19" s="221">
        <f>C18</f>
        <v>10000</v>
      </c>
      <c r="D19" s="221" t="str">
        <f>D18</f>
        <v>sf</v>
      </c>
      <c r="E19" s="222">
        <v>2</v>
      </c>
      <c r="F19" s="106">
        <f t="shared" si="0"/>
        <v>20000</v>
      </c>
    </row>
    <row r="20" spans="2:6" ht="21.9" customHeight="1" x14ac:dyDescent="0.25">
      <c r="B20" s="220" t="s">
        <v>1316</v>
      </c>
      <c r="C20" s="221">
        <v>1</v>
      </c>
      <c r="D20" s="221" t="s">
        <v>1310</v>
      </c>
      <c r="E20" s="222">
        <v>2000</v>
      </c>
      <c r="F20" s="106">
        <f t="shared" si="0"/>
        <v>2000</v>
      </c>
    </row>
    <row r="21" spans="2:6" ht="21.9" customHeight="1" x14ac:dyDescent="0.25">
      <c r="B21" s="220"/>
      <c r="C21" s="221"/>
      <c r="D21" s="221"/>
      <c r="E21" s="222"/>
      <c r="F21" s="106" t="str">
        <f t="shared" si="0"/>
        <v/>
      </c>
    </row>
    <row r="22" spans="2:6" ht="21.9" customHeight="1" x14ac:dyDescent="0.25">
      <c r="B22" s="303" t="s">
        <v>1317</v>
      </c>
      <c r="C22" s="221"/>
      <c r="D22" s="221"/>
      <c r="E22" s="222"/>
      <c r="F22" s="106" t="str">
        <f t="shared" si="0"/>
        <v/>
      </c>
    </row>
    <row r="23" spans="2:6" ht="21.9" customHeight="1" x14ac:dyDescent="0.25">
      <c r="B23" s="220" t="s">
        <v>1309</v>
      </c>
      <c r="C23" s="221">
        <v>1</v>
      </c>
      <c r="D23" s="221" t="s">
        <v>1310</v>
      </c>
      <c r="E23" s="222">
        <v>8500</v>
      </c>
      <c r="F23" s="106">
        <f t="shared" si="0"/>
        <v>8500</v>
      </c>
    </row>
    <row r="24" spans="2:6" ht="21.9" customHeight="1" x14ac:dyDescent="0.25">
      <c r="B24" s="220" t="s">
        <v>1318</v>
      </c>
      <c r="C24" s="221">
        <v>40</v>
      </c>
      <c r="D24" s="221" t="s">
        <v>1306</v>
      </c>
      <c r="E24" s="222">
        <v>50</v>
      </c>
      <c r="F24" s="106">
        <f t="shared" si="0"/>
        <v>2000</v>
      </c>
    </row>
    <row r="25" spans="2:6" ht="21.9" customHeight="1" x14ac:dyDescent="0.25">
      <c r="B25" s="220" t="s">
        <v>1319</v>
      </c>
      <c r="C25" s="221">
        <f>120*9</f>
        <v>1080</v>
      </c>
      <c r="D25" s="221" t="s">
        <v>1314</v>
      </c>
      <c r="E25" s="222">
        <v>22</v>
      </c>
      <c r="F25" s="106">
        <f t="shared" si="0"/>
        <v>23760</v>
      </c>
    </row>
    <row r="26" spans="2:6" ht="21.9" customHeight="1" x14ac:dyDescent="0.25">
      <c r="B26" s="220" t="s">
        <v>1316</v>
      </c>
      <c r="C26" s="221">
        <v>1</v>
      </c>
      <c r="D26" s="221" t="s">
        <v>1310</v>
      </c>
      <c r="E26" s="222">
        <v>2000</v>
      </c>
      <c r="F26" s="106">
        <f t="shared" si="0"/>
        <v>2000</v>
      </c>
    </row>
    <row r="27" spans="2:6" ht="21.9" customHeight="1" x14ac:dyDescent="0.25">
      <c r="B27" s="220"/>
      <c r="C27" s="221"/>
      <c r="D27" s="221"/>
      <c r="E27" s="222"/>
      <c r="F27" s="106" t="str">
        <f t="shared" si="0"/>
        <v/>
      </c>
    </row>
    <row r="28" spans="2:6" ht="21.9" customHeight="1" x14ac:dyDescent="0.25">
      <c r="B28" s="220"/>
      <c r="C28" s="221"/>
      <c r="D28" s="221"/>
      <c r="E28" s="222"/>
      <c r="F28" s="106" t="str">
        <f>IF(C28="","",E28*C28)</f>
        <v/>
      </c>
    </row>
    <row r="29" spans="2:6" ht="21.9" customHeight="1" x14ac:dyDescent="0.25">
      <c r="B29" s="220"/>
      <c r="C29" s="221"/>
      <c r="D29" s="221"/>
      <c r="E29" s="222"/>
      <c r="F29" s="106" t="str">
        <f t="shared" si="0"/>
        <v/>
      </c>
    </row>
    <row r="30" spans="2:6" ht="21.9" customHeight="1" x14ac:dyDescent="0.25">
      <c r="B30" s="220"/>
      <c r="C30" s="221"/>
      <c r="D30" s="221"/>
      <c r="E30" s="222"/>
      <c r="F30" s="106" t="str">
        <f t="shared" si="0"/>
        <v/>
      </c>
    </row>
    <row r="31" spans="2:6" ht="21.9" customHeight="1" x14ac:dyDescent="0.25">
      <c r="B31" s="220"/>
      <c r="C31" s="221"/>
      <c r="D31" s="221"/>
      <c r="E31" s="222"/>
      <c r="F31" s="106" t="str">
        <f t="shared" si="0"/>
        <v/>
      </c>
    </row>
    <row r="32" spans="2:6" ht="21.9" customHeight="1" x14ac:dyDescent="0.25">
      <c r="B32" s="220"/>
      <c r="C32" s="221"/>
      <c r="D32" s="221"/>
      <c r="E32" s="222"/>
      <c r="F32" s="106" t="str">
        <f t="shared" si="0"/>
        <v/>
      </c>
    </row>
    <row r="33" spans="2:6" ht="21.9" customHeight="1" x14ac:dyDescent="0.25">
      <c r="B33" s="220"/>
      <c r="C33" s="221"/>
      <c r="D33" s="221"/>
      <c r="E33" s="222"/>
      <c r="F33" s="106" t="str">
        <f t="shared" si="0"/>
        <v/>
      </c>
    </row>
    <row r="34" spans="2:6" ht="21.9" customHeight="1" x14ac:dyDescent="0.25">
      <c r="B34" s="220"/>
      <c r="C34" s="221"/>
      <c r="D34" s="221"/>
      <c r="E34" s="222"/>
      <c r="F34" s="106" t="str">
        <f t="shared" si="0"/>
        <v/>
      </c>
    </row>
    <row r="35" spans="2:6" ht="21.9" customHeight="1" x14ac:dyDescent="0.25">
      <c r="B35" s="220"/>
      <c r="C35" s="221"/>
      <c r="D35" s="221"/>
      <c r="E35" s="222"/>
      <c r="F35" s="106" t="str">
        <f t="shared" si="0"/>
        <v/>
      </c>
    </row>
    <row r="36" spans="2:6" ht="21.9" customHeight="1" x14ac:dyDescent="0.25">
      <c r="B36" s="220"/>
      <c r="C36" s="221"/>
      <c r="D36" s="221"/>
      <c r="E36" s="222"/>
      <c r="F36" s="106" t="str">
        <f t="shared" si="0"/>
        <v/>
      </c>
    </row>
    <row r="37" spans="2:6" ht="21.9" customHeight="1" x14ac:dyDescent="0.25">
      <c r="B37" s="220"/>
      <c r="C37" s="221"/>
      <c r="D37" s="221"/>
      <c r="E37" s="222"/>
      <c r="F37" s="106" t="str">
        <f t="shared" si="0"/>
        <v/>
      </c>
    </row>
    <row r="38" spans="2:6" ht="21.9" customHeight="1" x14ac:dyDescent="0.25">
      <c r="B38" s="220"/>
      <c r="C38" s="221"/>
      <c r="D38" s="221"/>
      <c r="E38" s="222"/>
      <c r="F38" s="106" t="str">
        <f t="shared" si="0"/>
        <v/>
      </c>
    </row>
    <row r="39" spans="2:6" ht="21.9" customHeight="1" x14ac:dyDescent="0.25">
      <c r="B39" s="220"/>
      <c r="C39" s="221"/>
      <c r="D39" s="221"/>
      <c r="E39" s="222"/>
      <c r="F39" s="106" t="str">
        <f t="shared" si="0"/>
        <v/>
      </c>
    </row>
    <row r="40" spans="2:6" ht="21.9" customHeight="1" x14ac:dyDescent="0.25">
      <c r="B40" s="220"/>
      <c r="C40" s="221"/>
      <c r="D40" s="221"/>
      <c r="E40" s="222"/>
      <c r="F40" s="106" t="str">
        <f t="shared" si="0"/>
        <v/>
      </c>
    </row>
    <row r="41" spans="2:6" ht="21.9" customHeight="1" x14ac:dyDescent="0.25">
      <c r="B41" s="220"/>
      <c r="C41" s="221"/>
      <c r="D41" s="221"/>
      <c r="E41" s="222"/>
      <c r="F41" s="106" t="str">
        <f t="shared" si="0"/>
        <v/>
      </c>
    </row>
    <row r="42" spans="2:6" ht="21.9" customHeight="1" x14ac:dyDescent="0.25">
      <c r="B42" s="220"/>
      <c r="C42" s="221"/>
      <c r="D42" s="221"/>
      <c r="E42" s="222"/>
      <c r="F42" s="106" t="str">
        <f t="shared" si="0"/>
        <v/>
      </c>
    </row>
    <row r="43" spans="2:6" ht="21.9" customHeight="1" x14ac:dyDescent="0.25">
      <c r="B43" s="220"/>
      <c r="C43" s="221"/>
      <c r="D43" s="221"/>
      <c r="E43" s="222"/>
      <c r="F43" s="106" t="str">
        <f t="shared" si="0"/>
        <v/>
      </c>
    </row>
    <row r="44" spans="2:6" ht="21.9" customHeight="1" x14ac:dyDescent="0.25">
      <c r="B44" s="220"/>
      <c r="C44" s="221"/>
      <c r="D44" s="221"/>
      <c r="E44" s="222"/>
      <c r="F44" s="106" t="str">
        <f t="shared" si="0"/>
        <v/>
      </c>
    </row>
    <row r="45" spans="2:6" ht="21.9" customHeight="1" x14ac:dyDescent="0.25">
      <c r="B45" s="220"/>
      <c r="C45" s="221"/>
      <c r="D45" s="221"/>
      <c r="E45" s="222"/>
      <c r="F45" s="106" t="str">
        <f t="shared" si="0"/>
        <v/>
      </c>
    </row>
    <row r="46" spans="2:6" ht="21.9" customHeight="1" x14ac:dyDescent="0.25">
      <c r="B46" s="220"/>
      <c r="C46" s="221"/>
      <c r="D46" s="221"/>
      <c r="E46" s="222"/>
      <c r="F46" s="106" t="str">
        <f t="shared" si="0"/>
        <v/>
      </c>
    </row>
    <row r="47" spans="2:6" ht="21.9" customHeight="1" x14ac:dyDescent="0.25">
      <c r="B47" s="220"/>
      <c r="C47" s="221"/>
      <c r="D47" s="221"/>
      <c r="E47" s="222"/>
      <c r="F47" s="106" t="str">
        <f t="shared" si="0"/>
        <v/>
      </c>
    </row>
    <row r="48" spans="2:6" ht="21.9" customHeight="1" x14ac:dyDescent="0.25">
      <c r="B48" s="220"/>
      <c r="C48" s="221"/>
      <c r="D48" s="221"/>
      <c r="E48" s="222"/>
      <c r="F48" s="106" t="str">
        <f t="shared" si="0"/>
        <v/>
      </c>
    </row>
    <row r="49" spans="2:6" ht="21.9" customHeight="1" x14ac:dyDescent="0.25">
      <c r="B49" s="220"/>
      <c r="C49" s="221"/>
      <c r="D49" s="221"/>
      <c r="E49" s="222"/>
      <c r="F49" s="106" t="str">
        <f t="shared" si="0"/>
        <v/>
      </c>
    </row>
    <row r="50" spans="2:6" ht="21.9" customHeight="1" x14ac:dyDescent="0.25">
      <c r="B50" s="220"/>
      <c r="C50" s="221"/>
      <c r="D50" s="221"/>
      <c r="E50" s="222"/>
      <c r="F50" s="106" t="str">
        <f t="shared" si="0"/>
        <v/>
      </c>
    </row>
    <row r="51" spans="2:6" ht="21.9" customHeight="1" x14ac:dyDescent="0.25">
      <c r="B51" s="220"/>
      <c r="C51" s="221"/>
      <c r="D51" s="221"/>
      <c r="E51" s="222"/>
      <c r="F51" s="106" t="str">
        <f t="shared" si="0"/>
        <v/>
      </c>
    </row>
    <row r="52" spans="2:6" ht="21.9" customHeight="1" x14ac:dyDescent="0.25">
      <c r="B52" s="220"/>
      <c r="C52" s="221"/>
      <c r="D52" s="221"/>
      <c r="E52" s="222"/>
      <c r="F52" s="106" t="str">
        <f t="shared" si="0"/>
        <v/>
      </c>
    </row>
    <row r="53" spans="2:6" ht="21.9" customHeight="1" x14ac:dyDescent="0.25">
      <c r="B53" s="220"/>
      <c r="C53" s="221"/>
      <c r="D53" s="221"/>
      <c r="E53" s="222"/>
      <c r="F53" s="106" t="str">
        <f t="shared" si="0"/>
        <v/>
      </c>
    </row>
    <row r="54" spans="2:6" ht="21.9" customHeight="1" x14ac:dyDescent="0.25">
      <c r="B54" s="220"/>
      <c r="C54" s="221"/>
      <c r="D54" s="221"/>
      <c r="E54" s="222"/>
      <c r="F54" s="106" t="str">
        <f t="shared" si="0"/>
        <v/>
      </c>
    </row>
    <row r="55" spans="2:6" ht="21.9" customHeight="1" x14ac:dyDescent="0.25">
      <c r="B55" s="220"/>
      <c r="C55" s="221"/>
      <c r="D55" s="221"/>
      <c r="E55" s="222"/>
      <c r="F55" s="106" t="str">
        <f t="shared" si="0"/>
        <v/>
      </c>
    </row>
    <row r="56" spans="2:6" ht="21.9" customHeight="1" x14ac:dyDescent="0.25">
      <c r="B56" s="220"/>
      <c r="C56" s="221"/>
      <c r="D56" s="221"/>
      <c r="E56" s="222"/>
      <c r="F56" s="106" t="str">
        <f t="shared" si="0"/>
        <v/>
      </c>
    </row>
    <row r="57" spans="2:6" ht="21.9" customHeight="1" x14ac:dyDescent="0.25">
      <c r="B57" s="220"/>
      <c r="C57" s="221"/>
      <c r="D57" s="221"/>
      <c r="E57" s="222"/>
      <c r="F57" s="106" t="str">
        <f t="shared" si="0"/>
        <v/>
      </c>
    </row>
    <row r="58" spans="2:6" ht="21.9" customHeight="1" x14ac:dyDescent="0.25">
      <c r="B58" s="220"/>
      <c r="C58" s="221"/>
      <c r="D58" s="221"/>
      <c r="E58" s="222"/>
      <c r="F58" s="106" t="str">
        <f t="shared" si="0"/>
        <v/>
      </c>
    </row>
    <row r="59" spans="2:6" ht="21.9" customHeight="1" x14ac:dyDescent="0.25">
      <c r="B59" s="220"/>
      <c r="C59" s="221"/>
      <c r="D59" s="221"/>
      <c r="E59" s="222"/>
      <c r="F59" s="106" t="str">
        <f t="shared" si="0"/>
        <v/>
      </c>
    </row>
    <row r="60" spans="2:6" ht="21.9" customHeight="1" x14ac:dyDescent="0.25">
      <c r="B60" s="220"/>
      <c r="C60" s="221"/>
      <c r="D60" s="221"/>
      <c r="E60" s="222"/>
      <c r="F60" s="106" t="str">
        <f t="shared" si="0"/>
        <v/>
      </c>
    </row>
    <row r="61" spans="2:6" ht="21.9" customHeight="1" x14ac:dyDescent="0.25">
      <c r="B61" s="220"/>
      <c r="C61" s="221"/>
      <c r="D61" s="221"/>
      <c r="E61" s="222"/>
      <c r="F61" s="106" t="str">
        <f t="shared" si="0"/>
        <v/>
      </c>
    </row>
    <row r="62" spans="2:6" ht="21.9" customHeight="1" x14ac:dyDescent="0.25">
      <c r="B62" s="220"/>
      <c r="C62" s="221"/>
      <c r="D62" s="221"/>
      <c r="E62" s="222"/>
      <c r="F62" s="106" t="str">
        <f t="shared" si="0"/>
        <v/>
      </c>
    </row>
    <row r="63" spans="2:6" ht="21.9" customHeight="1" x14ac:dyDescent="0.25">
      <c r="B63" s="220"/>
      <c r="C63" s="221"/>
      <c r="D63" s="221"/>
      <c r="E63" s="222"/>
      <c r="F63" s="106" t="str">
        <f t="shared" si="0"/>
        <v/>
      </c>
    </row>
    <row r="64" spans="2:6" ht="21.9" customHeight="1" x14ac:dyDescent="0.25">
      <c r="B64" s="220"/>
      <c r="C64" s="221"/>
      <c r="D64" s="221"/>
      <c r="E64" s="222"/>
      <c r="F64" s="106" t="str">
        <f t="shared" si="0"/>
        <v/>
      </c>
    </row>
    <row r="65" spans="2:6" ht="21.9" customHeight="1" x14ac:dyDescent="0.25">
      <c r="B65" s="220"/>
      <c r="C65" s="221"/>
      <c r="D65" s="221"/>
      <c r="E65" s="222"/>
      <c r="F65" s="106" t="str">
        <f t="shared" si="0"/>
        <v/>
      </c>
    </row>
    <row r="66" spans="2:6" ht="21.9" customHeight="1" x14ac:dyDescent="0.25">
      <c r="B66" s="220"/>
      <c r="C66" s="221"/>
      <c r="D66" s="221"/>
      <c r="E66" s="222"/>
      <c r="F66" s="106" t="str">
        <f t="shared" si="0"/>
        <v/>
      </c>
    </row>
    <row r="67" spans="2:6" ht="21.9" customHeight="1" x14ac:dyDescent="0.25">
      <c r="B67" s="220"/>
      <c r="C67" s="221"/>
      <c r="D67" s="221"/>
      <c r="E67" s="222"/>
      <c r="F67" s="106" t="str">
        <f t="shared" si="0"/>
        <v/>
      </c>
    </row>
    <row r="68" spans="2:6" ht="21.9" customHeight="1" x14ac:dyDescent="0.25">
      <c r="B68" s="220"/>
      <c r="C68" s="221"/>
      <c r="D68" s="221"/>
      <c r="E68" s="222"/>
      <c r="F68" s="106" t="str">
        <f t="shared" si="0"/>
        <v/>
      </c>
    </row>
    <row r="69" spans="2:6" ht="21.9" customHeight="1" x14ac:dyDescent="0.25">
      <c r="B69" s="220"/>
      <c r="C69" s="221"/>
      <c r="D69" s="221"/>
      <c r="E69" s="222"/>
      <c r="F69" s="106" t="str">
        <f t="shared" si="0"/>
        <v/>
      </c>
    </row>
    <row r="70" spans="2:6" ht="21.9" customHeight="1" x14ac:dyDescent="0.25">
      <c r="B70" s="220"/>
      <c r="C70" s="221"/>
      <c r="D70" s="221"/>
      <c r="E70" s="222"/>
      <c r="F70" s="106" t="str">
        <f t="shared" si="0"/>
        <v/>
      </c>
    </row>
    <row r="71" spans="2:6" ht="21.9" customHeight="1" x14ac:dyDescent="0.25">
      <c r="B71" s="220"/>
      <c r="C71" s="221"/>
      <c r="D71" s="221"/>
      <c r="E71" s="222"/>
      <c r="F71" s="106" t="str">
        <f t="shared" si="0"/>
        <v/>
      </c>
    </row>
    <row r="72" spans="2:6" ht="21.9" customHeight="1" x14ac:dyDescent="0.25">
      <c r="B72" s="220"/>
      <c r="C72" s="221"/>
      <c r="D72" s="221"/>
      <c r="E72" s="222"/>
      <c r="F72" s="106" t="str">
        <f t="shared" si="0"/>
        <v/>
      </c>
    </row>
    <row r="73" spans="2:6" ht="21.9" customHeight="1" x14ac:dyDescent="0.25">
      <c r="B73" s="220"/>
      <c r="C73" s="221"/>
      <c r="D73" s="221"/>
      <c r="E73" s="222"/>
      <c r="F73" s="106" t="str">
        <f t="shared" si="0"/>
        <v/>
      </c>
    </row>
    <row r="74" spans="2:6" ht="21.9" customHeight="1" x14ac:dyDescent="0.25">
      <c r="B74" s="220"/>
      <c r="C74" s="221"/>
      <c r="D74" s="221"/>
      <c r="E74" s="222"/>
      <c r="F74" s="106" t="str">
        <f t="shared" si="0"/>
        <v/>
      </c>
    </row>
    <row r="75" spans="2:6" ht="21.9" customHeight="1" x14ac:dyDescent="0.25">
      <c r="B75" s="220"/>
      <c r="C75" s="221"/>
      <c r="D75" s="221"/>
      <c r="E75" s="222"/>
      <c r="F75" s="106" t="str">
        <f t="shared" ref="F75:F81" si="1">IF(C75="","",E75*C75)</f>
        <v/>
      </c>
    </row>
    <row r="76" spans="2:6" ht="21.9" customHeight="1" x14ac:dyDescent="0.25">
      <c r="B76" s="220"/>
      <c r="C76" s="221"/>
      <c r="D76" s="221"/>
      <c r="E76" s="222"/>
      <c r="F76" s="106" t="str">
        <f t="shared" si="1"/>
        <v/>
      </c>
    </row>
    <row r="77" spans="2:6" ht="21.9" customHeight="1" x14ac:dyDescent="0.25">
      <c r="B77" s="220"/>
      <c r="C77" s="221"/>
      <c r="D77" s="221"/>
      <c r="E77" s="222"/>
      <c r="F77" s="106" t="str">
        <f t="shared" si="1"/>
        <v/>
      </c>
    </row>
    <row r="78" spans="2:6" ht="21.9" customHeight="1" x14ac:dyDescent="0.25">
      <c r="B78" s="220"/>
      <c r="C78" s="221"/>
      <c r="D78" s="221"/>
      <c r="E78" s="222"/>
      <c r="F78" s="106" t="str">
        <f t="shared" si="1"/>
        <v/>
      </c>
    </row>
    <row r="79" spans="2:6" ht="21.9" customHeight="1" x14ac:dyDescent="0.25">
      <c r="B79" s="220"/>
      <c r="C79" s="221"/>
      <c r="D79" s="221"/>
      <c r="E79" s="222"/>
      <c r="F79" s="106" t="str">
        <f t="shared" si="1"/>
        <v/>
      </c>
    </row>
    <row r="80" spans="2:6" ht="21.9" customHeight="1" x14ac:dyDescent="0.25">
      <c r="B80" s="220"/>
      <c r="C80" s="221"/>
      <c r="D80" s="221"/>
      <c r="E80" s="222"/>
      <c r="F80" s="106" t="str">
        <f t="shared" si="1"/>
        <v/>
      </c>
    </row>
    <row r="81" spans="2:6" ht="21.9" customHeight="1" x14ac:dyDescent="0.25">
      <c r="B81" s="220"/>
      <c r="C81" s="221"/>
      <c r="D81" s="221"/>
      <c r="E81" s="222"/>
      <c r="F81" s="106" t="str">
        <f t="shared" si="1"/>
        <v/>
      </c>
    </row>
  </sheetData>
  <mergeCells count="3">
    <mergeCell ref="A3:B3"/>
    <mergeCell ref="B5:D7"/>
    <mergeCell ref="A1:B1"/>
  </mergeCells>
  <hyperlinks>
    <hyperlink ref="A1" location="Index!A1" display="&lt; Return to Index"/>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0"/>
  <sheetViews>
    <sheetView zoomScaleNormal="100" zoomScaleSheetLayoutView="100" workbookViewId="0">
      <selection activeCell="C31" sqref="C31"/>
    </sheetView>
  </sheetViews>
  <sheetFormatPr defaultColWidth="9.109375" defaultRowHeight="13.2" x14ac:dyDescent="0.25"/>
  <cols>
    <col min="1" max="2" width="4.6640625" style="24" customWidth="1"/>
    <col min="3" max="3" width="111.6640625" style="24" customWidth="1"/>
    <col min="4" max="4" width="4.6640625" style="24" customWidth="1"/>
    <col min="5" max="16384" width="9.109375" style="24"/>
  </cols>
  <sheetData>
    <row r="1" spans="1:3" s="190" customFormat="1" ht="21.9" customHeight="1" x14ac:dyDescent="0.25">
      <c r="A1" s="724" t="s">
        <v>1118</v>
      </c>
      <c r="B1" s="725"/>
      <c r="C1" s="725"/>
    </row>
    <row r="2" spans="1:3" ht="12.75" customHeight="1" x14ac:dyDescent="0.25"/>
    <row r="3" spans="1:3" ht="12.75" customHeight="1" x14ac:dyDescent="0.25">
      <c r="C3" s="25" t="s">
        <v>946</v>
      </c>
    </row>
    <row r="4" spans="1:3" ht="12.75" customHeight="1" x14ac:dyDescent="0.25">
      <c r="B4" s="16"/>
    </row>
    <row r="5" spans="1:3" ht="12.75" customHeight="1" x14ac:dyDescent="0.25">
      <c r="A5" s="386"/>
      <c r="B5" s="386"/>
      <c r="C5" s="722"/>
    </row>
    <row r="6" spans="1:3" ht="12.75" customHeight="1" x14ac:dyDescent="0.25">
      <c r="A6" s="386"/>
      <c r="B6" s="386"/>
      <c r="C6" s="723"/>
    </row>
    <row r="7" spans="1:3" ht="12.75" customHeight="1" x14ac:dyDescent="0.25">
      <c r="A7" s="386"/>
      <c r="B7" s="386"/>
      <c r="C7" s="387" t="s">
        <v>349</v>
      </c>
    </row>
    <row r="8" spans="1:3" ht="12.75" customHeight="1" x14ac:dyDescent="0.25">
      <c r="A8" s="386"/>
      <c r="B8" s="388"/>
      <c r="C8" s="386"/>
    </row>
    <row r="9" spans="1:3" ht="12.75" customHeight="1" x14ac:dyDescent="0.25">
      <c r="A9" s="386"/>
      <c r="B9" s="386"/>
      <c r="C9" s="659"/>
    </row>
    <row r="10" spans="1:3" ht="12.75" customHeight="1" x14ac:dyDescent="0.25">
      <c r="A10" s="386"/>
      <c r="B10" s="386"/>
      <c r="C10" s="659"/>
    </row>
    <row r="11" spans="1:3" ht="12.75" customHeight="1" x14ac:dyDescent="0.25">
      <c r="A11" s="386"/>
      <c r="B11" s="386"/>
      <c r="C11" s="386"/>
    </row>
    <row r="12" spans="1:3" ht="12.75" customHeight="1" x14ac:dyDescent="0.25">
      <c r="A12" s="386"/>
      <c r="B12" s="388"/>
      <c r="C12" s="386"/>
    </row>
    <row r="13" spans="1:3" ht="12.75" customHeight="1" x14ac:dyDescent="0.25">
      <c r="A13" s="386"/>
      <c r="B13" s="386"/>
      <c r="C13" s="385"/>
    </row>
    <row r="14" spans="1:3" ht="12.75" customHeight="1" x14ac:dyDescent="0.25">
      <c r="A14" s="386"/>
      <c r="B14" s="386"/>
      <c r="C14" s="386"/>
    </row>
    <row r="15" spans="1:3" ht="12.75" customHeight="1" x14ac:dyDescent="0.25">
      <c r="A15" s="386"/>
      <c r="B15" s="388"/>
      <c r="C15" s="386"/>
    </row>
    <row r="16" spans="1:3" ht="12.75" customHeight="1" x14ac:dyDescent="0.25">
      <c r="A16" s="386"/>
      <c r="B16" s="386"/>
      <c r="C16" s="385"/>
    </row>
    <row r="17" spans="1:3" ht="12.75" customHeight="1" x14ac:dyDescent="0.25">
      <c r="A17" s="386"/>
      <c r="B17" s="386"/>
      <c r="C17" s="386"/>
    </row>
    <row r="18" spans="1:3" ht="12.75" customHeight="1" x14ac:dyDescent="0.25">
      <c r="A18" s="386"/>
      <c r="B18" s="386"/>
      <c r="C18" s="386"/>
    </row>
    <row r="19" spans="1:3" ht="12.75" customHeight="1" x14ac:dyDescent="0.25">
      <c r="A19" s="386"/>
      <c r="B19" s="386"/>
      <c r="C19" s="386"/>
    </row>
    <row r="20" spans="1:3" ht="12.75" customHeight="1" x14ac:dyDescent="0.25">
      <c r="A20" s="386"/>
      <c r="B20" s="386"/>
      <c r="C20" s="386"/>
    </row>
    <row r="21" spans="1:3" x14ac:dyDescent="0.25">
      <c r="A21" s="386"/>
      <c r="B21" s="386"/>
      <c r="C21" s="386"/>
    </row>
    <row r="22" spans="1:3" x14ac:dyDescent="0.25">
      <c r="A22" s="386"/>
      <c r="B22" s="386"/>
      <c r="C22" s="386"/>
    </row>
    <row r="23" spans="1:3" x14ac:dyDescent="0.25">
      <c r="A23" s="386"/>
      <c r="B23" s="386"/>
      <c r="C23" s="386"/>
    </row>
    <row r="24" spans="1:3" x14ac:dyDescent="0.25">
      <c r="A24" s="386"/>
      <c r="B24" s="386"/>
      <c r="C24" s="386"/>
    </row>
    <row r="25" spans="1:3" x14ac:dyDescent="0.25">
      <c r="A25" s="386"/>
      <c r="B25" s="386"/>
      <c r="C25" s="386"/>
    </row>
    <row r="26" spans="1:3" x14ac:dyDescent="0.25">
      <c r="A26" s="386"/>
      <c r="B26" s="386"/>
      <c r="C26" s="386"/>
    </row>
    <row r="27" spans="1:3" x14ac:dyDescent="0.25">
      <c r="A27" s="386"/>
      <c r="B27" s="386"/>
      <c r="C27" s="386"/>
    </row>
    <row r="28" spans="1:3" x14ac:dyDescent="0.25">
      <c r="A28" s="386"/>
      <c r="B28" s="386"/>
      <c r="C28" s="386"/>
    </row>
    <row r="29" spans="1:3" x14ac:dyDescent="0.25">
      <c r="A29" s="386"/>
      <c r="B29" s="386"/>
      <c r="C29" s="386"/>
    </row>
    <row r="30" spans="1:3" x14ac:dyDescent="0.25">
      <c r="A30" s="386"/>
      <c r="B30" s="386"/>
      <c r="C30" s="386"/>
    </row>
    <row r="31" spans="1:3" x14ac:dyDescent="0.25">
      <c r="A31" s="386"/>
      <c r="B31" s="386"/>
      <c r="C31" s="386"/>
    </row>
    <row r="32" spans="1:3" x14ac:dyDescent="0.25">
      <c r="A32" s="386"/>
      <c r="B32" s="386"/>
      <c r="C32" s="386"/>
    </row>
    <row r="33" spans="1:3" x14ac:dyDescent="0.25">
      <c r="A33" s="386"/>
      <c r="B33" s="386"/>
      <c r="C33" s="386"/>
    </row>
    <row r="34" spans="1:3" x14ac:dyDescent="0.25">
      <c r="A34" s="386"/>
      <c r="B34" s="386"/>
      <c r="C34" s="386"/>
    </row>
    <row r="35" spans="1:3" x14ac:dyDescent="0.25">
      <c r="A35" s="386"/>
      <c r="B35" s="386"/>
      <c r="C35" s="386"/>
    </row>
    <row r="36" spans="1:3" x14ac:dyDescent="0.25">
      <c r="A36" s="386"/>
      <c r="B36" s="386"/>
      <c r="C36" s="386"/>
    </row>
    <row r="37" spans="1:3" x14ac:dyDescent="0.25">
      <c r="A37" s="386"/>
      <c r="B37" s="386"/>
      <c r="C37" s="386"/>
    </row>
    <row r="38" spans="1:3" x14ac:dyDescent="0.25">
      <c r="A38" s="386"/>
      <c r="B38" s="386"/>
      <c r="C38" s="386"/>
    </row>
    <row r="39" spans="1:3" x14ac:dyDescent="0.25">
      <c r="A39" s="386"/>
      <c r="B39" s="386"/>
      <c r="C39" s="386"/>
    </row>
    <row r="40" spans="1:3" x14ac:dyDescent="0.25">
      <c r="A40" s="386"/>
      <c r="B40" s="386"/>
      <c r="C40" s="386"/>
    </row>
    <row r="41" spans="1:3" x14ac:dyDescent="0.25">
      <c r="A41" s="386"/>
      <c r="B41" s="386"/>
      <c r="C41" s="386"/>
    </row>
    <row r="42" spans="1:3" x14ac:dyDescent="0.25">
      <c r="A42" s="386"/>
      <c r="B42" s="386"/>
      <c r="C42" s="386"/>
    </row>
    <row r="43" spans="1:3" x14ac:dyDescent="0.25">
      <c r="A43" s="386"/>
      <c r="B43" s="386"/>
      <c r="C43" s="386"/>
    </row>
    <row r="44" spans="1:3" x14ac:dyDescent="0.25">
      <c r="A44" s="386"/>
      <c r="B44" s="386"/>
      <c r="C44" s="386"/>
    </row>
    <row r="45" spans="1:3" x14ac:dyDescent="0.25">
      <c r="A45" s="386"/>
      <c r="B45" s="386"/>
      <c r="C45" s="386"/>
    </row>
    <row r="46" spans="1:3" x14ac:dyDescent="0.25">
      <c r="A46" s="386"/>
      <c r="B46" s="386"/>
      <c r="C46" s="386"/>
    </row>
    <row r="47" spans="1:3" x14ac:dyDescent="0.25">
      <c r="A47" s="386"/>
      <c r="B47" s="386"/>
      <c r="C47" s="386"/>
    </row>
    <row r="48" spans="1:3" x14ac:dyDescent="0.25">
      <c r="A48" s="386"/>
      <c r="B48" s="386"/>
      <c r="C48" s="386"/>
    </row>
    <row r="49" spans="1:3" x14ac:dyDescent="0.25">
      <c r="A49" s="386"/>
      <c r="B49" s="386"/>
      <c r="C49" s="386"/>
    </row>
    <row r="50" spans="1:3" x14ac:dyDescent="0.25">
      <c r="A50" s="386"/>
      <c r="B50" s="386"/>
      <c r="C50" s="386"/>
    </row>
    <row r="51" spans="1:3" x14ac:dyDescent="0.25">
      <c r="A51" s="386"/>
      <c r="B51" s="386"/>
      <c r="C51" s="386"/>
    </row>
    <row r="52" spans="1:3" x14ac:dyDescent="0.25">
      <c r="A52" s="386"/>
      <c r="B52" s="386"/>
      <c r="C52" s="386"/>
    </row>
    <row r="53" spans="1:3" x14ac:dyDescent="0.25">
      <c r="A53" s="386"/>
      <c r="B53" s="386"/>
      <c r="C53" s="386"/>
    </row>
    <row r="54" spans="1:3" x14ac:dyDescent="0.25">
      <c r="A54" s="386"/>
      <c r="B54" s="386"/>
      <c r="C54" s="386"/>
    </row>
    <row r="55" spans="1:3" x14ac:dyDescent="0.25">
      <c r="A55" s="386"/>
      <c r="B55" s="386"/>
      <c r="C55" s="386"/>
    </row>
    <row r="56" spans="1:3" x14ac:dyDescent="0.25">
      <c r="A56" s="386"/>
      <c r="B56" s="386"/>
      <c r="C56" s="386"/>
    </row>
    <row r="57" spans="1:3" x14ac:dyDescent="0.25">
      <c r="A57" s="386"/>
      <c r="B57" s="386"/>
      <c r="C57" s="386"/>
    </row>
    <row r="58" spans="1:3" x14ac:dyDescent="0.25">
      <c r="A58" s="386"/>
      <c r="B58" s="386"/>
      <c r="C58" s="386"/>
    </row>
    <row r="59" spans="1:3" x14ac:dyDescent="0.25">
      <c r="A59" s="386"/>
      <c r="B59" s="386"/>
      <c r="C59" s="386"/>
    </row>
    <row r="60" spans="1:3" x14ac:dyDescent="0.25">
      <c r="A60" s="386"/>
      <c r="B60" s="386"/>
      <c r="C60" s="386"/>
    </row>
    <row r="61" spans="1:3" x14ac:dyDescent="0.25">
      <c r="A61" s="386"/>
      <c r="B61" s="386"/>
      <c r="C61" s="386"/>
    </row>
    <row r="62" spans="1:3" x14ac:dyDescent="0.25">
      <c r="A62" s="386"/>
      <c r="B62" s="386"/>
      <c r="C62" s="386"/>
    </row>
    <row r="63" spans="1:3" x14ac:dyDescent="0.25">
      <c r="A63" s="386"/>
      <c r="B63" s="386"/>
      <c r="C63" s="386"/>
    </row>
    <row r="64" spans="1:3" x14ac:dyDescent="0.25">
      <c r="A64" s="386"/>
      <c r="B64" s="386"/>
      <c r="C64" s="386"/>
    </row>
    <row r="65" spans="1:3" x14ac:dyDescent="0.25">
      <c r="A65" s="386"/>
      <c r="B65" s="386"/>
      <c r="C65" s="386"/>
    </row>
    <row r="66" spans="1:3" x14ac:dyDescent="0.25">
      <c r="A66" s="386"/>
      <c r="B66" s="386"/>
      <c r="C66" s="386"/>
    </row>
    <row r="67" spans="1:3" x14ac:dyDescent="0.25">
      <c r="A67" s="386"/>
      <c r="B67" s="386"/>
      <c r="C67" s="386"/>
    </row>
    <row r="68" spans="1:3" x14ac:dyDescent="0.25">
      <c r="A68" s="386"/>
      <c r="B68" s="386"/>
      <c r="C68" s="386"/>
    </row>
    <row r="69" spans="1:3" x14ac:dyDescent="0.25">
      <c r="A69" s="386"/>
      <c r="B69" s="386"/>
      <c r="C69" s="386"/>
    </row>
    <row r="70" spans="1:3" x14ac:dyDescent="0.25">
      <c r="A70" s="386"/>
      <c r="B70" s="386"/>
      <c r="C70" s="386"/>
    </row>
  </sheetData>
  <mergeCells count="3">
    <mergeCell ref="C5:C6"/>
    <mergeCell ref="C9:C10"/>
    <mergeCell ref="A1:C1"/>
  </mergeCells>
  <hyperlinks>
    <hyperlink ref="A1" location="Index!A1" display="&lt; Return to Index"/>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T31"/>
  <sheetViews>
    <sheetView zoomScaleNormal="100" zoomScaleSheetLayoutView="90" workbookViewId="0">
      <pane xSplit="1" topLeftCell="B1" activePane="topRight" state="frozen"/>
      <selection activeCell="D56" sqref="D56"/>
      <selection pane="topRight" activeCell="GI3" sqref="GI3"/>
    </sheetView>
  </sheetViews>
  <sheetFormatPr defaultRowHeight="13.2" x14ac:dyDescent="0.25"/>
  <cols>
    <col min="1" max="1" width="23.88671875" customWidth="1"/>
    <col min="188" max="188" width="11.6640625" customWidth="1"/>
    <col min="189" max="189" width="13.88671875" customWidth="1"/>
  </cols>
  <sheetData>
    <row r="1" spans="1:488" s="189" customFormat="1" ht="21.9" customHeight="1" x14ac:dyDescent="0.25">
      <c r="A1" s="403" t="s">
        <v>1118</v>
      </c>
    </row>
    <row r="2" spans="1:488" s="231" customFormat="1" ht="71.25" customHeight="1" x14ac:dyDescent="0.3">
      <c r="A2" s="229" t="s">
        <v>1119</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230"/>
      <c r="DK2" s="230"/>
      <c r="DL2" s="230"/>
      <c r="DM2" s="230"/>
      <c r="DN2" s="230"/>
      <c r="DO2" s="230"/>
      <c r="DP2" s="230"/>
      <c r="DQ2" s="230"/>
      <c r="DR2" s="230"/>
      <c r="DS2" s="230"/>
      <c r="DT2" s="230"/>
      <c r="DU2" s="230"/>
      <c r="DV2" s="230"/>
      <c r="DW2" s="230"/>
      <c r="DX2" s="230"/>
      <c r="DY2" s="230"/>
      <c r="DZ2" s="230"/>
      <c r="EA2" s="230"/>
      <c r="EB2" s="230"/>
      <c r="EC2" s="230"/>
      <c r="ED2" s="230"/>
      <c r="EE2" s="230"/>
      <c r="EF2" s="230"/>
      <c r="EG2" s="230"/>
      <c r="EH2" s="230"/>
      <c r="EI2" s="230"/>
      <c r="EJ2" s="230"/>
      <c r="EK2" s="230"/>
      <c r="EL2" s="230"/>
      <c r="EM2" s="230"/>
      <c r="EN2" s="230"/>
      <c r="EO2" s="230"/>
      <c r="EP2" s="230"/>
      <c r="EQ2" s="230"/>
      <c r="ER2" s="230"/>
      <c r="ES2" s="230"/>
      <c r="ET2" s="230"/>
      <c r="EU2" s="230"/>
      <c r="EV2" s="230"/>
      <c r="EW2" s="230"/>
      <c r="EX2" s="230"/>
      <c r="EY2" s="230"/>
      <c r="EZ2" s="230"/>
      <c r="FA2" s="230"/>
      <c r="FB2" s="230"/>
      <c r="FC2" s="230"/>
      <c r="FD2" s="230"/>
      <c r="FE2" s="230"/>
      <c r="FF2" s="230"/>
      <c r="FG2" s="230"/>
      <c r="FH2" s="230"/>
      <c r="FI2" s="230"/>
      <c r="FJ2" s="230"/>
      <c r="FK2" s="230"/>
      <c r="FL2" s="230"/>
      <c r="FM2" s="230"/>
      <c r="FN2" s="230"/>
      <c r="FO2" s="230"/>
      <c r="FP2" s="230"/>
      <c r="FQ2" s="230"/>
      <c r="FR2" s="230"/>
      <c r="FS2" s="230"/>
      <c r="FT2" s="230"/>
      <c r="FU2" s="230"/>
      <c r="FV2" s="230"/>
      <c r="FW2" s="230"/>
      <c r="FX2" s="230"/>
      <c r="FY2" s="230"/>
      <c r="FZ2" s="230"/>
      <c r="GA2" s="230"/>
      <c r="GB2" s="230"/>
      <c r="GC2" s="731" t="str">
        <f>A3</f>
        <v>From RSMeans Construction Cost Indexes, 2022, using the Historical Cost Index (HCI).  Copyright RSMeans, Rockland, MA 781-422-5000; All rights reserved.</v>
      </c>
      <c r="GD2" s="732"/>
      <c r="GE2" s="732"/>
      <c r="GF2" s="732"/>
      <c r="GG2" s="732"/>
      <c r="GH2" s="732"/>
      <c r="GI2" s="732"/>
      <c r="GJ2" s="230"/>
      <c r="GK2" s="230"/>
      <c r="GL2" s="230"/>
      <c r="GM2" s="230"/>
      <c r="GN2" s="230"/>
      <c r="GO2" s="230"/>
      <c r="GP2" s="230"/>
      <c r="GQ2" s="230"/>
      <c r="GR2" s="230"/>
      <c r="GS2" s="230"/>
      <c r="GT2" s="230"/>
      <c r="GU2" s="230"/>
      <c r="GV2" s="230"/>
      <c r="GW2" s="230"/>
      <c r="GX2" s="230"/>
      <c r="GY2" s="230"/>
      <c r="GZ2" s="230"/>
      <c r="HA2" s="230"/>
      <c r="HB2" s="230"/>
      <c r="HC2" s="230"/>
      <c r="HD2" s="230"/>
    </row>
    <row r="3" spans="1:488" s="232" customFormat="1" ht="149.25" customHeight="1" x14ac:dyDescent="0.25">
      <c r="A3" s="304" t="s">
        <v>1201</v>
      </c>
      <c r="B3" s="230" t="s">
        <v>420</v>
      </c>
      <c r="C3" s="230" t="s">
        <v>421</v>
      </c>
      <c r="D3" s="230" t="s">
        <v>421</v>
      </c>
      <c r="E3" s="230" t="s">
        <v>421</v>
      </c>
      <c r="F3" s="230" t="s">
        <v>421</v>
      </c>
      <c r="G3" s="230" t="s">
        <v>421</v>
      </c>
      <c r="H3" s="230" t="s">
        <v>421</v>
      </c>
      <c r="I3" s="230" t="s">
        <v>421</v>
      </c>
      <c r="J3" s="230" t="s">
        <v>421</v>
      </c>
      <c r="K3" s="230" t="s">
        <v>421</v>
      </c>
      <c r="L3" s="230" t="s">
        <v>421</v>
      </c>
      <c r="M3" s="230" t="s">
        <v>421</v>
      </c>
      <c r="N3" s="230" t="s">
        <v>421</v>
      </c>
      <c r="O3" s="230" t="s">
        <v>421</v>
      </c>
      <c r="P3" s="230" t="s">
        <v>421</v>
      </c>
      <c r="Q3" s="230" t="s">
        <v>421</v>
      </c>
      <c r="R3" s="230" t="s">
        <v>421</v>
      </c>
      <c r="S3" s="230" t="s">
        <v>421</v>
      </c>
      <c r="T3" s="230" t="s">
        <v>421</v>
      </c>
      <c r="U3" s="230" t="s">
        <v>421</v>
      </c>
      <c r="V3" s="230" t="s">
        <v>421</v>
      </c>
      <c r="W3" s="230" t="s">
        <v>421</v>
      </c>
      <c r="X3" s="230" t="s">
        <v>421</v>
      </c>
      <c r="Y3" s="230" t="s">
        <v>421</v>
      </c>
      <c r="Z3" s="230" t="s">
        <v>421</v>
      </c>
      <c r="AA3" s="230" t="s">
        <v>421</v>
      </c>
      <c r="AB3" s="230" t="s">
        <v>421</v>
      </c>
      <c r="AC3" s="230" t="s">
        <v>421</v>
      </c>
      <c r="AD3" s="230" t="s">
        <v>421</v>
      </c>
      <c r="AE3" s="230" t="s">
        <v>421</v>
      </c>
      <c r="AF3" s="230" t="s">
        <v>421</v>
      </c>
      <c r="AG3" s="230" t="s">
        <v>421</v>
      </c>
      <c r="AH3" s="230" t="s">
        <v>421</v>
      </c>
      <c r="AI3" s="230" t="s">
        <v>421</v>
      </c>
      <c r="AJ3" s="230" t="s">
        <v>421</v>
      </c>
      <c r="AK3" s="230" t="s">
        <v>421</v>
      </c>
      <c r="AL3" s="230" t="s">
        <v>421</v>
      </c>
      <c r="AM3" s="230" t="s">
        <v>421</v>
      </c>
      <c r="AN3" s="230" t="s">
        <v>421</v>
      </c>
      <c r="AO3" s="230" t="s">
        <v>421</v>
      </c>
      <c r="AP3" s="230" t="s">
        <v>421</v>
      </c>
      <c r="AQ3" s="230" t="s">
        <v>421</v>
      </c>
      <c r="AR3" s="230" t="s">
        <v>421</v>
      </c>
      <c r="AS3" s="230" t="s">
        <v>421</v>
      </c>
      <c r="AT3" s="230" t="s">
        <v>421</v>
      </c>
      <c r="AU3" s="230" t="s">
        <v>421</v>
      </c>
      <c r="AV3" s="230" t="s">
        <v>421</v>
      </c>
      <c r="AW3" s="230" t="s">
        <v>421</v>
      </c>
      <c r="AX3" s="230" t="s">
        <v>421</v>
      </c>
      <c r="AY3" s="230" t="s">
        <v>421</v>
      </c>
      <c r="AZ3" s="230" t="s">
        <v>421</v>
      </c>
      <c r="BA3" s="230" t="s">
        <v>421</v>
      </c>
      <c r="BB3" s="230" t="s">
        <v>421</v>
      </c>
      <c r="BC3" s="230" t="s">
        <v>421</v>
      </c>
      <c r="BD3" s="230" t="s">
        <v>421</v>
      </c>
      <c r="BE3" s="230" t="s">
        <v>421</v>
      </c>
      <c r="BF3" s="230" t="s">
        <v>421</v>
      </c>
      <c r="BG3" s="230" t="s">
        <v>421</v>
      </c>
      <c r="BH3" s="230" t="s">
        <v>421</v>
      </c>
      <c r="BI3" s="230" t="s">
        <v>421</v>
      </c>
      <c r="BJ3" s="230" t="s">
        <v>421</v>
      </c>
      <c r="BK3" s="230" t="s">
        <v>421</v>
      </c>
      <c r="BL3" s="230" t="s">
        <v>421</v>
      </c>
      <c r="BM3" s="230" t="s">
        <v>421</v>
      </c>
      <c r="BN3" s="230" t="s">
        <v>421</v>
      </c>
      <c r="BO3" s="230" t="s">
        <v>421</v>
      </c>
      <c r="BP3" s="230" t="s">
        <v>421</v>
      </c>
      <c r="BQ3" s="230" t="s">
        <v>421</v>
      </c>
      <c r="BR3" s="230" t="s">
        <v>421</v>
      </c>
      <c r="BS3" s="230" t="s">
        <v>421</v>
      </c>
      <c r="BT3" s="230" t="s">
        <v>421</v>
      </c>
      <c r="BU3" s="230" t="s">
        <v>421</v>
      </c>
      <c r="BV3" s="230" t="s">
        <v>421</v>
      </c>
      <c r="BW3" s="230" t="s">
        <v>421</v>
      </c>
      <c r="BX3" s="230" t="s">
        <v>421</v>
      </c>
      <c r="BY3" s="230" t="s">
        <v>421</v>
      </c>
      <c r="BZ3" s="230" t="s">
        <v>421</v>
      </c>
      <c r="CA3" s="230" t="s">
        <v>421</v>
      </c>
      <c r="CB3" s="230" t="s">
        <v>421</v>
      </c>
      <c r="CC3" s="230" t="s">
        <v>421</v>
      </c>
      <c r="CD3" s="230" t="s">
        <v>421</v>
      </c>
      <c r="CE3" s="230" t="s">
        <v>421</v>
      </c>
      <c r="CF3" s="230" t="s">
        <v>421</v>
      </c>
      <c r="CG3" s="230" t="s">
        <v>421</v>
      </c>
      <c r="CH3" s="230" t="s">
        <v>421</v>
      </c>
      <c r="CI3" s="230" t="s">
        <v>421</v>
      </c>
      <c r="CJ3" s="230" t="s">
        <v>421</v>
      </c>
      <c r="CK3" s="230" t="s">
        <v>421</v>
      </c>
      <c r="CL3" s="230" t="s">
        <v>421</v>
      </c>
      <c r="CM3" s="230" t="s">
        <v>421</v>
      </c>
      <c r="CN3" s="230" t="s">
        <v>421</v>
      </c>
      <c r="CO3" s="230" t="s">
        <v>421</v>
      </c>
      <c r="CP3" s="230" t="s">
        <v>421</v>
      </c>
      <c r="CQ3" s="230" t="s">
        <v>421</v>
      </c>
      <c r="CR3" s="230" t="s">
        <v>421</v>
      </c>
      <c r="CS3" s="230" t="s">
        <v>421</v>
      </c>
      <c r="CT3" s="230" t="s">
        <v>421</v>
      </c>
      <c r="CU3" s="230" t="s">
        <v>421</v>
      </c>
      <c r="CV3" s="230" t="s">
        <v>421</v>
      </c>
      <c r="CW3" s="230" t="s">
        <v>421</v>
      </c>
      <c r="CX3" s="230" t="s">
        <v>421</v>
      </c>
      <c r="CY3" s="230" t="s">
        <v>421</v>
      </c>
      <c r="CZ3" s="230" t="s">
        <v>421</v>
      </c>
      <c r="DA3" s="230" t="s">
        <v>421</v>
      </c>
      <c r="DB3" s="230" t="s">
        <v>421</v>
      </c>
      <c r="DC3" s="230" t="s">
        <v>421</v>
      </c>
      <c r="DD3" s="230" t="s">
        <v>421</v>
      </c>
      <c r="DE3" s="230" t="s">
        <v>421</v>
      </c>
      <c r="DF3" s="230" t="s">
        <v>421</v>
      </c>
      <c r="DG3" s="230" t="s">
        <v>421</v>
      </c>
      <c r="DH3" s="230" t="s">
        <v>421</v>
      </c>
      <c r="DI3" s="230" t="s">
        <v>421</v>
      </c>
      <c r="DJ3" s="230" t="s">
        <v>421</v>
      </c>
      <c r="DK3" s="230" t="s">
        <v>421</v>
      </c>
      <c r="DL3" s="230" t="s">
        <v>421</v>
      </c>
      <c r="DM3" s="230" t="s">
        <v>421</v>
      </c>
      <c r="DN3" s="230" t="s">
        <v>421</v>
      </c>
      <c r="DO3" s="230" t="s">
        <v>421</v>
      </c>
      <c r="DP3" s="230" t="s">
        <v>421</v>
      </c>
      <c r="DQ3" s="230" t="s">
        <v>421</v>
      </c>
      <c r="DR3" s="230" t="s">
        <v>421</v>
      </c>
      <c r="DS3" s="230" t="s">
        <v>421</v>
      </c>
      <c r="DT3" s="230" t="s">
        <v>421</v>
      </c>
      <c r="DU3" s="230" t="s">
        <v>421</v>
      </c>
      <c r="DV3" s="230" t="s">
        <v>421</v>
      </c>
      <c r="DW3" s="230" t="s">
        <v>421</v>
      </c>
      <c r="DX3" s="230" t="s">
        <v>421</v>
      </c>
      <c r="DY3" s="230" t="s">
        <v>421</v>
      </c>
      <c r="DZ3" s="230" t="s">
        <v>421</v>
      </c>
      <c r="EA3" s="230" t="s">
        <v>421</v>
      </c>
      <c r="EB3" s="230" t="s">
        <v>421</v>
      </c>
      <c r="EC3" s="230" t="s">
        <v>421</v>
      </c>
      <c r="ED3" s="230" t="s">
        <v>421</v>
      </c>
      <c r="EE3" s="230" t="s">
        <v>421</v>
      </c>
      <c r="EF3" s="230" t="s">
        <v>421</v>
      </c>
      <c r="EG3" s="230" t="s">
        <v>421</v>
      </c>
      <c r="EH3" s="230" t="s">
        <v>421</v>
      </c>
      <c r="EI3" s="230" t="s">
        <v>421</v>
      </c>
      <c r="EJ3" s="230" t="s">
        <v>421</v>
      </c>
      <c r="EK3" s="230" t="s">
        <v>421</v>
      </c>
      <c r="EL3" s="230" t="s">
        <v>421</v>
      </c>
      <c r="EM3" s="230" t="s">
        <v>421</v>
      </c>
      <c r="EN3" s="230" t="s">
        <v>421</v>
      </c>
      <c r="EO3" s="230" t="s">
        <v>421</v>
      </c>
      <c r="EP3" s="230" t="s">
        <v>421</v>
      </c>
      <c r="EQ3" s="230" t="s">
        <v>421</v>
      </c>
      <c r="ER3" s="230" t="s">
        <v>421</v>
      </c>
      <c r="ES3" s="230" t="s">
        <v>421</v>
      </c>
      <c r="ET3" s="230" t="s">
        <v>421</v>
      </c>
      <c r="EU3" s="230" t="s">
        <v>421</v>
      </c>
      <c r="EV3" s="230" t="s">
        <v>421</v>
      </c>
      <c r="EW3" s="230" t="s">
        <v>421</v>
      </c>
      <c r="EX3" s="230" t="s">
        <v>421</v>
      </c>
      <c r="EY3" s="230" t="s">
        <v>421</v>
      </c>
      <c r="EZ3" s="230" t="s">
        <v>421</v>
      </c>
      <c r="FA3" s="230" t="s">
        <v>421</v>
      </c>
      <c r="FB3" s="230" t="s">
        <v>421</v>
      </c>
      <c r="FC3" s="230" t="s">
        <v>421</v>
      </c>
      <c r="FD3" s="230" t="s">
        <v>421</v>
      </c>
      <c r="FE3" s="230" t="s">
        <v>421</v>
      </c>
      <c r="FF3" s="230" t="s">
        <v>421</v>
      </c>
      <c r="FG3" s="230" t="s">
        <v>421</v>
      </c>
      <c r="FH3" s="230" t="s">
        <v>421</v>
      </c>
      <c r="FI3" s="230" t="s">
        <v>421</v>
      </c>
      <c r="FJ3" s="230" t="s">
        <v>421</v>
      </c>
      <c r="FK3" s="230" t="s">
        <v>421</v>
      </c>
      <c r="FL3" s="230" t="s">
        <v>421</v>
      </c>
      <c r="FM3" s="230" t="s">
        <v>421</v>
      </c>
      <c r="FN3" s="230" t="s">
        <v>421</v>
      </c>
      <c r="FO3" s="230" t="s">
        <v>421</v>
      </c>
      <c r="FP3" s="230" t="s">
        <v>421</v>
      </c>
      <c r="FQ3" s="230" t="s">
        <v>421</v>
      </c>
      <c r="FR3" s="230" t="s">
        <v>421</v>
      </c>
      <c r="FS3" s="230" t="s">
        <v>421</v>
      </c>
      <c r="FT3" s="230" t="s">
        <v>421</v>
      </c>
      <c r="FU3" s="230" t="s">
        <v>421</v>
      </c>
      <c r="FV3" s="230" t="s">
        <v>421</v>
      </c>
      <c r="FW3" s="230" t="s">
        <v>421</v>
      </c>
      <c r="FX3" s="230" t="s">
        <v>421</v>
      </c>
      <c r="FY3" s="230" t="s">
        <v>421</v>
      </c>
      <c r="FZ3" s="230" t="s">
        <v>421</v>
      </c>
      <c r="GA3" s="230" t="s">
        <v>421</v>
      </c>
      <c r="GB3" s="230" t="s">
        <v>421</v>
      </c>
      <c r="GC3" s="230" t="s">
        <v>421</v>
      </c>
      <c r="GD3" s="230" t="s">
        <v>421</v>
      </c>
      <c r="GE3" s="230" t="s">
        <v>421</v>
      </c>
      <c r="GF3" s="733" t="s">
        <v>893</v>
      </c>
      <c r="GG3" s="734"/>
      <c r="GH3" s="230" t="s">
        <v>421</v>
      </c>
      <c r="GI3" s="230" t="s">
        <v>421</v>
      </c>
      <c r="GJ3" s="230" t="s">
        <v>421</v>
      </c>
      <c r="GK3" s="230" t="s">
        <v>421</v>
      </c>
      <c r="GL3" s="230" t="s">
        <v>421</v>
      </c>
      <c r="GM3" s="230" t="s">
        <v>421</v>
      </c>
      <c r="GN3" s="230" t="s">
        <v>421</v>
      </c>
      <c r="GO3" s="230" t="s">
        <v>421</v>
      </c>
      <c r="GP3" s="230" t="s">
        <v>421</v>
      </c>
      <c r="GQ3" s="230" t="s">
        <v>421</v>
      </c>
      <c r="GR3" s="230" t="s">
        <v>421</v>
      </c>
      <c r="GS3" s="230" t="s">
        <v>421</v>
      </c>
      <c r="GT3" s="230" t="s">
        <v>421</v>
      </c>
      <c r="GU3" s="230" t="s">
        <v>421</v>
      </c>
      <c r="GV3" s="230" t="s">
        <v>421</v>
      </c>
      <c r="GW3" s="230" t="s">
        <v>421</v>
      </c>
      <c r="GX3" s="230" t="s">
        <v>421</v>
      </c>
      <c r="GY3" s="230" t="s">
        <v>421</v>
      </c>
      <c r="GZ3" s="230" t="s">
        <v>421</v>
      </c>
      <c r="HA3" s="230" t="s">
        <v>421</v>
      </c>
      <c r="HB3" s="230" t="s">
        <v>421</v>
      </c>
      <c r="HC3" s="230" t="s">
        <v>421</v>
      </c>
      <c r="HD3" s="230" t="s">
        <v>422</v>
      </c>
    </row>
    <row r="4" spans="1:488" s="231" customFormat="1" ht="26.4" x14ac:dyDescent="0.25">
      <c r="A4" s="411"/>
      <c r="B4" s="727" t="s">
        <v>423</v>
      </c>
      <c r="C4" s="727"/>
      <c r="D4" s="727"/>
      <c r="E4" s="727"/>
      <c r="F4" s="727"/>
      <c r="G4" s="411" t="s">
        <v>424</v>
      </c>
      <c r="H4" s="727" t="s">
        <v>425</v>
      </c>
      <c r="I4" s="727"/>
      <c r="J4" s="727" t="s">
        <v>426</v>
      </c>
      <c r="K4" s="727"/>
      <c r="L4" s="727" t="s">
        <v>427</v>
      </c>
      <c r="M4" s="727"/>
      <c r="N4" s="727"/>
      <c r="O4" s="727"/>
      <c r="P4" s="727"/>
      <c r="Q4" s="728"/>
      <c r="R4" s="728"/>
      <c r="S4" s="728"/>
      <c r="T4" s="728"/>
      <c r="U4" s="728"/>
      <c r="V4" s="728"/>
      <c r="W4" s="728"/>
      <c r="X4" s="727" t="s">
        <v>428</v>
      </c>
      <c r="Y4" s="727"/>
      <c r="Z4" s="727"/>
      <c r="AA4" s="727" t="s">
        <v>429</v>
      </c>
      <c r="AB4" s="727"/>
      <c r="AC4" s="727"/>
      <c r="AD4" s="727"/>
      <c r="AE4" s="727"/>
      <c r="AF4" s="728"/>
      <c r="AG4" s="728"/>
      <c r="AH4" s="728"/>
      <c r="AI4" s="411" t="s">
        <v>430</v>
      </c>
      <c r="AJ4" s="411" t="s">
        <v>431</v>
      </c>
      <c r="AK4" s="726" t="s">
        <v>432</v>
      </c>
      <c r="AL4" s="726"/>
      <c r="AM4" s="726"/>
      <c r="AN4" s="726"/>
      <c r="AO4" s="726"/>
      <c r="AP4" s="726"/>
      <c r="AQ4" s="727" t="s">
        <v>433</v>
      </c>
      <c r="AR4" s="728"/>
      <c r="AS4" s="728"/>
      <c r="AT4" s="728"/>
      <c r="AU4" s="728"/>
      <c r="AV4" s="411" t="s">
        <v>434</v>
      </c>
      <c r="AW4" s="727" t="s">
        <v>435</v>
      </c>
      <c r="AX4" s="727"/>
      <c r="AY4" s="727" t="s">
        <v>436</v>
      </c>
      <c r="AZ4" s="727"/>
      <c r="BA4" s="727"/>
      <c r="BB4" s="727"/>
      <c r="BC4" s="727"/>
      <c r="BD4" s="727"/>
      <c r="BE4" s="727" t="s">
        <v>437</v>
      </c>
      <c r="BF4" s="727"/>
      <c r="BG4" s="727"/>
      <c r="BH4" s="727"/>
      <c r="BI4" s="727"/>
      <c r="BJ4" s="728"/>
      <c r="BK4" s="728"/>
      <c r="BL4" s="728"/>
      <c r="BM4" s="726" t="s">
        <v>438</v>
      </c>
      <c r="BN4" s="726"/>
      <c r="BO4" s="726"/>
      <c r="BP4" s="726"/>
      <c r="BQ4" s="726"/>
      <c r="BR4" s="727" t="s">
        <v>439</v>
      </c>
      <c r="BS4" s="727"/>
      <c r="BT4" s="727" t="s">
        <v>440</v>
      </c>
      <c r="BU4" s="727"/>
      <c r="BV4" s="727" t="s">
        <v>441</v>
      </c>
      <c r="BW4" s="727"/>
      <c r="BX4" s="727"/>
      <c r="BY4" s="728"/>
      <c r="BZ4" s="727" t="s">
        <v>442</v>
      </c>
      <c r="CA4" s="727"/>
      <c r="CB4" s="411" t="s">
        <v>443</v>
      </c>
      <c r="CC4" s="727" t="s">
        <v>444</v>
      </c>
      <c r="CD4" s="727"/>
      <c r="CE4" s="727"/>
      <c r="CF4" s="727"/>
      <c r="CG4" s="727"/>
      <c r="CH4" s="727"/>
      <c r="CI4" s="727"/>
      <c r="CJ4" s="727"/>
      <c r="CK4" s="727"/>
      <c r="CL4" s="727" t="s">
        <v>445</v>
      </c>
      <c r="CM4" s="727"/>
      <c r="CN4" s="728"/>
      <c r="CO4" s="728"/>
      <c r="CP4" s="728"/>
      <c r="CQ4" s="728"/>
      <c r="CR4" s="728"/>
      <c r="CS4" s="728"/>
      <c r="CT4" s="727" t="s">
        <v>446</v>
      </c>
      <c r="CU4" s="727"/>
      <c r="CV4" s="727"/>
      <c r="CW4" s="726" t="s">
        <v>447</v>
      </c>
      <c r="CX4" s="726"/>
      <c r="CY4" s="727" t="s">
        <v>448</v>
      </c>
      <c r="CZ4" s="727"/>
      <c r="DA4" s="727"/>
      <c r="DB4" s="727"/>
      <c r="DC4" s="727" t="s">
        <v>449</v>
      </c>
      <c r="DD4" s="727"/>
      <c r="DE4" s="729" t="s">
        <v>450</v>
      </c>
      <c r="DF4" s="729"/>
      <c r="DG4" s="729" t="s">
        <v>451</v>
      </c>
      <c r="DH4" s="729"/>
      <c r="DI4" s="729" t="s">
        <v>452</v>
      </c>
      <c r="DJ4" s="729"/>
      <c r="DK4" s="727" t="s">
        <v>453</v>
      </c>
      <c r="DL4" s="727"/>
      <c r="DM4" s="727"/>
      <c r="DN4" s="727"/>
      <c r="DO4" s="727"/>
      <c r="DP4" s="411" t="s">
        <v>454</v>
      </c>
      <c r="DQ4" s="727" t="s">
        <v>455</v>
      </c>
      <c r="DR4" s="728"/>
      <c r="DS4" s="728"/>
      <c r="DT4" s="728"/>
      <c r="DU4" s="728"/>
      <c r="DV4" s="728"/>
      <c r="DW4" s="728"/>
      <c r="DX4" s="728"/>
      <c r="DY4" s="728"/>
      <c r="DZ4" s="730" t="s">
        <v>456</v>
      </c>
      <c r="EA4" s="730"/>
      <c r="EB4" s="730"/>
      <c r="EC4" s="730"/>
      <c r="ED4" s="730"/>
      <c r="EE4" s="362" t="s">
        <v>457</v>
      </c>
      <c r="EF4" s="730" t="s">
        <v>458</v>
      </c>
      <c r="EG4" s="730"/>
      <c r="EH4" s="730"/>
      <c r="EI4" s="730"/>
      <c r="EJ4" s="730"/>
      <c r="EK4" s="730"/>
      <c r="EL4" s="730"/>
      <c r="EM4" s="730"/>
      <c r="EN4" s="730"/>
      <c r="EO4" s="730"/>
      <c r="EP4" s="730" t="s">
        <v>459</v>
      </c>
      <c r="EQ4" s="730"/>
      <c r="ER4" s="730"/>
      <c r="ES4" s="730" t="s">
        <v>460</v>
      </c>
      <c r="ET4" s="730"/>
      <c r="EU4" s="730" t="s">
        <v>461</v>
      </c>
      <c r="EV4" s="730"/>
      <c r="EW4" s="730"/>
      <c r="EX4" s="730"/>
      <c r="EY4" s="730"/>
      <c r="EZ4" s="730"/>
      <c r="FA4" s="730"/>
      <c r="FB4" s="410" t="s">
        <v>462</v>
      </c>
      <c r="FC4" s="730" t="s">
        <v>463</v>
      </c>
      <c r="FD4" s="730"/>
      <c r="FE4" s="730" t="s">
        <v>464</v>
      </c>
      <c r="FF4" s="730"/>
      <c r="FG4" s="730" t="s">
        <v>465</v>
      </c>
      <c r="FH4" s="730"/>
      <c r="FI4" s="730"/>
      <c r="FJ4" s="730"/>
      <c r="FK4" s="730" t="s">
        <v>466</v>
      </c>
      <c r="FL4" s="730"/>
      <c r="FM4" s="730"/>
      <c r="FN4" s="730"/>
      <c r="FO4" s="730"/>
      <c r="FP4" s="730"/>
      <c r="FQ4" s="730"/>
      <c r="FR4" s="730"/>
      <c r="FS4" s="730"/>
      <c r="FT4" s="730"/>
      <c r="FU4" s="730"/>
      <c r="FV4" s="730"/>
      <c r="FW4" s="730"/>
      <c r="FX4" s="730"/>
      <c r="FY4" s="730" t="s">
        <v>467</v>
      </c>
      <c r="FZ4" s="730"/>
      <c r="GA4" s="730" t="s">
        <v>468</v>
      </c>
      <c r="GB4" s="730"/>
      <c r="GC4" s="735" t="s">
        <v>469</v>
      </c>
      <c r="GD4" s="735"/>
      <c r="GE4" s="735"/>
      <c r="GF4" s="735"/>
      <c r="GG4" s="735"/>
      <c r="GH4" s="735"/>
      <c r="GI4" s="735"/>
      <c r="GJ4" s="730" t="s">
        <v>470</v>
      </c>
      <c r="GK4" s="730"/>
      <c r="GL4" s="730"/>
      <c r="GM4" s="730" t="s">
        <v>471</v>
      </c>
      <c r="GN4" s="730"/>
      <c r="GO4" s="730" t="s">
        <v>472</v>
      </c>
      <c r="GP4" s="730"/>
      <c r="GQ4" s="730"/>
      <c r="GR4" s="730"/>
      <c r="GS4" s="730"/>
      <c r="GT4" s="410" t="s">
        <v>473</v>
      </c>
      <c r="GU4" s="730" t="s">
        <v>474</v>
      </c>
      <c r="GV4" s="730"/>
      <c r="GW4" s="730"/>
      <c r="GX4" s="730"/>
      <c r="GY4" s="730"/>
      <c r="GZ4" s="730"/>
      <c r="HA4" s="730"/>
      <c r="HB4" s="730"/>
      <c r="HC4" s="730"/>
      <c r="HD4" s="730"/>
    </row>
    <row r="5" spans="1:488" s="231" customFormat="1" ht="79.2" x14ac:dyDescent="0.25">
      <c r="A5" s="363"/>
      <c r="B5" s="363" t="s">
        <v>475</v>
      </c>
      <c r="C5" s="363" t="s">
        <v>476</v>
      </c>
      <c r="D5" s="363" t="s">
        <v>477</v>
      </c>
      <c r="E5" s="363" t="s">
        <v>478</v>
      </c>
      <c r="F5" s="363" t="s">
        <v>479</v>
      </c>
      <c r="G5" s="363" t="s">
        <v>480</v>
      </c>
      <c r="H5" s="363" t="s">
        <v>481</v>
      </c>
      <c r="I5" s="363" t="s">
        <v>482</v>
      </c>
      <c r="J5" s="363" t="s">
        <v>483</v>
      </c>
      <c r="K5" s="363" t="s">
        <v>484</v>
      </c>
      <c r="L5" s="363" t="s">
        <v>485</v>
      </c>
      <c r="M5" s="363" t="s">
        <v>486</v>
      </c>
      <c r="N5" s="363" t="s">
        <v>487</v>
      </c>
      <c r="O5" s="363" t="s">
        <v>488</v>
      </c>
      <c r="P5" s="363" t="s">
        <v>489</v>
      </c>
      <c r="Q5" s="363" t="s">
        <v>490</v>
      </c>
      <c r="R5" s="363" t="s">
        <v>491</v>
      </c>
      <c r="S5" s="363" t="s">
        <v>492</v>
      </c>
      <c r="T5" s="363" t="s">
        <v>493</v>
      </c>
      <c r="U5" s="363" t="s">
        <v>494</v>
      </c>
      <c r="V5" s="363" t="s">
        <v>495</v>
      </c>
      <c r="W5" s="363" t="s">
        <v>496</v>
      </c>
      <c r="X5" s="363" t="s">
        <v>497</v>
      </c>
      <c r="Y5" s="363" t="s">
        <v>498</v>
      </c>
      <c r="Z5" s="363" t="s">
        <v>499</v>
      </c>
      <c r="AA5" s="363" t="s">
        <v>500</v>
      </c>
      <c r="AB5" s="363" t="s">
        <v>501</v>
      </c>
      <c r="AC5" s="363" t="s">
        <v>502</v>
      </c>
      <c r="AD5" s="363" t="s">
        <v>503</v>
      </c>
      <c r="AE5" s="363" t="s">
        <v>504</v>
      </c>
      <c r="AF5" s="363" t="s">
        <v>505</v>
      </c>
      <c r="AG5" s="363" t="s">
        <v>506</v>
      </c>
      <c r="AH5" s="363" t="s">
        <v>507</v>
      </c>
      <c r="AI5" s="363" t="s">
        <v>508</v>
      </c>
      <c r="AJ5" s="363" t="s">
        <v>509</v>
      </c>
      <c r="AK5" s="363" t="s">
        <v>510</v>
      </c>
      <c r="AL5" s="363" t="s">
        <v>511</v>
      </c>
      <c r="AM5" s="363" t="s">
        <v>512</v>
      </c>
      <c r="AN5" s="363" t="s">
        <v>513</v>
      </c>
      <c r="AO5" s="363" t="s">
        <v>514</v>
      </c>
      <c r="AP5" s="363" t="s">
        <v>515</v>
      </c>
      <c r="AQ5" s="363" t="s">
        <v>516</v>
      </c>
      <c r="AR5" s="363" t="s">
        <v>517</v>
      </c>
      <c r="AS5" s="363" t="s">
        <v>518</v>
      </c>
      <c r="AT5" s="363" t="s">
        <v>519</v>
      </c>
      <c r="AU5" s="363" t="s">
        <v>520</v>
      </c>
      <c r="AV5" s="363" t="s">
        <v>521</v>
      </c>
      <c r="AW5" s="363" t="s">
        <v>522</v>
      </c>
      <c r="AX5" s="363" t="s">
        <v>523</v>
      </c>
      <c r="AY5" s="363" t="s">
        <v>524</v>
      </c>
      <c r="AZ5" s="363" t="s">
        <v>525</v>
      </c>
      <c r="BA5" s="363" t="s">
        <v>526</v>
      </c>
      <c r="BB5" s="363" t="s">
        <v>527</v>
      </c>
      <c r="BC5" s="363" t="s">
        <v>528</v>
      </c>
      <c r="BD5" s="363" t="s">
        <v>529</v>
      </c>
      <c r="BE5" s="363" t="s">
        <v>530</v>
      </c>
      <c r="BF5" s="363" t="s">
        <v>531</v>
      </c>
      <c r="BG5" s="363" t="s">
        <v>532</v>
      </c>
      <c r="BH5" s="363" t="s">
        <v>533</v>
      </c>
      <c r="BI5" s="363" t="s">
        <v>534</v>
      </c>
      <c r="BJ5" s="363" t="s">
        <v>535</v>
      </c>
      <c r="BK5" s="363" t="s">
        <v>536</v>
      </c>
      <c r="BL5" s="363" t="s">
        <v>537</v>
      </c>
      <c r="BM5" s="363" t="s">
        <v>538</v>
      </c>
      <c r="BN5" s="363" t="s">
        <v>539</v>
      </c>
      <c r="BO5" s="363" t="s">
        <v>540</v>
      </c>
      <c r="BP5" s="363" t="s">
        <v>541</v>
      </c>
      <c r="BQ5" s="363" t="s">
        <v>542</v>
      </c>
      <c r="BR5" s="363" t="s">
        <v>543</v>
      </c>
      <c r="BS5" s="363" t="s">
        <v>544</v>
      </c>
      <c r="BT5" s="363" t="s">
        <v>545</v>
      </c>
      <c r="BU5" s="363" t="s">
        <v>546</v>
      </c>
      <c r="BV5" s="363" t="s">
        <v>547</v>
      </c>
      <c r="BW5" s="363" t="s">
        <v>548</v>
      </c>
      <c r="BX5" s="363" t="s">
        <v>549</v>
      </c>
      <c r="BY5" s="363" t="s">
        <v>550</v>
      </c>
      <c r="BZ5" s="363" t="s">
        <v>551</v>
      </c>
      <c r="CA5" s="363" t="s">
        <v>552</v>
      </c>
      <c r="CB5" s="363" t="s">
        <v>553</v>
      </c>
      <c r="CC5" s="363" t="s">
        <v>554</v>
      </c>
      <c r="CD5" s="363" t="s">
        <v>555</v>
      </c>
      <c r="CE5" s="363" t="s">
        <v>556</v>
      </c>
      <c r="CF5" s="363" t="s">
        <v>557</v>
      </c>
      <c r="CG5" s="363" t="s">
        <v>558</v>
      </c>
      <c r="CH5" s="363" t="s">
        <v>559</v>
      </c>
      <c r="CI5" s="363" t="s">
        <v>560</v>
      </c>
      <c r="CJ5" s="363" t="s">
        <v>529</v>
      </c>
      <c r="CK5" s="363" t="s">
        <v>561</v>
      </c>
      <c r="CL5" s="363" t="s">
        <v>562</v>
      </c>
      <c r="CM5" s="363" t="s">
        <v>563</v>
      </c>
      <c r="CN5" s="363" t="s">
        <v>564</v>
      </c>
      <c r="CO5" s="363" t="s">
        <v>565</v>
      </c>
      <c r="CP5" s="363" t="s">
        <v>566</v>
      </c>
      <c r="CQ5" s="363" t="s">
        <v>567</v>
      </c>
      <c r="CR5" s="363" t="s">
        <v>568</v>
      </c>
      <c r="CS5" s="363" t="s">
        <v>569</v>
      </c>
      <c r="CT5" s="363" t="s">
        <v>570</v>
      </c>
      <c r="CU5" s="363" t="s">
        <v>571</v>
      </c>
      <c r="CV5" s="363" t="s">
        <v>572</v>
      </c>
      <c r="CW5" s="363" t="s">
        <v>573</v>
      </c>
      <c r="CX5" s="363" t="s">
        <v>574</v>
      </c>
      <c r="CY5" s="363" t="s">
        <v>575</v>
      </c>
      <c r="CZ5" s="363" t="s">
        <v>576</v>
      </c>
      <c r="DA5" s="363" t="s">
        <v>577</v>
      </c>
      <c r="DB5" s="363" t="s">
        <v>529</v>
      </c>
      <c r="DC5" s="363" t="s">
        <v>578</v>
      </c>
      <c r="DD5" s="363" t="s">
        <v>579</v>
      </c>
      <c r="DE5" s="363" t="s">
        <v>580</v>
      </c>
      <c r="DF5" s="363" t="s">
        <v>581</v>
      </c>
      <c r="DG5" s="363" t="s">
        <v>582</v>
      </c>
      <c r="DH5" s="363" t="s">
        <v>583</v>
      </c>
      <c r="DI5" s="363" t="s">
        <v>584</v>
      </c>
      <c r="DJ5" s="363" t="s">
        <v>585</v>
      </c>
      <c r="DK5" s="363" t="s">
        <v>586</v>
      </c>
      <c r="DL5" s="363" t="s">
        <v>587</v>
      </c>
      <c r="DM5" s="363" t="s">
        <v>588</v>
      </c>
      <c r="DN5" s="363" t="s">
        <v>589</v>
      </c>
      <c r="DO5" s="363" t="s">
        <v>590</v>
      </c>
      <c r="DP5" s="363" t="s">
        <v>591</v>
      </c>
      <c r="DQ5" s="363" t="s">
        <v>516</v>
      </c>
      <c r="DR5" s="363" t="s">
        <v>592</v>
      </c>
      <c r="DS5" s="363" t="s">
        <v>593</v>
      </c>
      <c r="DT5" s="363" t="s">
        <v>455</v>
      </c>
      <c r="DU5" s="363" t="s">
        <v>594</v>
      </c>
      <c r="DV5" s="363" t="s">
        <v>595</v>
      </c>
      <c r="DW5" s="363" t="s">
        <v>596</v>
      </c>
      <c r="DX5" s="363" t="s">
        <v>597</v>
      </c>
      <c r="DY5" s="363" t="s">
        <v>598</v>
      </c>
      <c r="DZ5" s="363" t="s">
        <v>599</v>
      </c>
      <c r="EA5" s="363" t="s">
        <v>600</v>
      </c>
      <c r="EB5" s="363" t="s">
        <v>601</v>
      </c>
      <c r="EC5" s="363" t="s">
        <v>602</v>
      </c>
      <c r="ED5" s="363" t="s">
        <v>603</v>
      </c>
      <c r="EE5" s="363" t="s">
        <v>604</v>
      </c>
      <c r="EF5" s="363" t="s">
        <v>605</v>
      </c>
      <c r="EG5" s="364" t="s">
        <v>606</v>
      </c>
      <c r="EH5" s="364" t="s">
        <v>607</v>
      </c>
      <c r="EI5" s="364" t="s">
        <v>608</v>
      </c>
      <c r="EJ5" s="364" t="s">
        <v>609</v>
      </c>
      <c r="EK5" s="364" t="s">
        <v>610</v>
      </c>
      <c r="EL5" s="364" t="s">
        <v>611</v>
      </c>
      <c r="EM5" s="364" t="s">
        <v>529</v>
      </c>
      <c r="EN5" s="364" t="s">
        <v>612</v>
      </c>
      <c r="EO5" s="364" t="s">
        <v>613</v>
      </c>
      <c r="EP5" s="363" t="s">
        <v>614</v>
      </c>
      <c r="EQ5" s="363" t="s">
        <v>615</v>
      </c>
      <c r="ER5" s="363" t="s">
        <v>616</v>
      </c>
      <c r="ES5" s="363" t="s">
        <v>617</v>
      </c>
      <c r="ET5" s="363" t="s">
        <v>618</v>
      </c>
      <c r="EU5" s="363" t="s">
        <v>619</v>
      </c>
      <c r="EV5" s="363" t="s">
        <v>620</v>
      </c>
      <c r="EW5" s="363" t="s">
        <v>621</v>
      </c>
      <c r="EX5" s="363" t="s">
        <v>622</v>
      </c>
      <c r="EY5" s="363" t="s">
        <v>623</v>
      </c>
      <c r="EZ5" s="363" t="s">
        <v>624</v>
      </c>
      <c r="FA5" s="363" t="s">
        <v>625</v>
      </c>
      <c r="FB5" s="363" t="s">
        <v>626</v>
      </c>
      <c r="FC5" s="365" t="s">
        <v>627</v>
      </c>
      <c r="FD5" s="363" t="s">
        <v>628</v>
      </c>
      <c r="FE5" s="363" t="s">
        <v>629</v>
      </c>
      <c r="FF5" s="363" t="s">
        <v>630</v>
      </c>
      <c r="FG5" s="363" t="s">
        <v>631</v>
      </c>
      <c r="FH5" s="363" t="s">
        <v>632</v>
      </c>
      <c r="FI5" s="363" t="s">
        <v>633</v>
      </c>
      <c r="FJ5" s="363" t="s">
        <v>634</v>
      </c>
      <c r="FK5" s="363" t="s">
        <v>635</v>
      </c>
      <c r="FL5" s="363" t="s">
        <v>636</v>
      </c>
      <c r="FM5" s="363" t="s">
        <v>637</v>
      </c>
      <c r="FN5" s="363" t="s">
        <v>638</v>
      </c>
      <c r="FO5" s="363" t="s">
        <v>639</v>
      </c>
      <c r="FP5" s="363" t="s">
        <v>640</v>
      </c>
      <c r="FQ5" s="363" t="s">
        <v>641</v>
      </c>
      <c r="FR5" s="363" t="s">
        <v>642</v>
      </c>
      <c r="FS5" s="363" t="s">
        <v>643</v>
      </c>
      <c r="FT5" s="363" t="s">
        <v>644</v>
      </c>
      <c r="FU5" s="363" t="s">
        <v>645</v>
      </c>
      <c r="FV5" s="363" t="s">
        <v>646</v>
      </c>
      <c r="FW5" s="363" t="s">
        <v>647</v>
      </c>
      <c r="FX5" s="363" t="s">
        <v>648</v>
      </c>
      <c r="FY5" s="363" t="s">
        <v>649</v>
      </c>
      <c r="FZ5" s="363" t="s">
        <v>650</v>
      </c>
      <c r="GA5" s="363" t="s">
        <v>651</v>
      </c>
      <c r="GB5" s="363" t="s">
        <v>652</v>
      </c>
      <c r="GC5" s="366" t="s">
        <v>653</v>
      </c>
      <c r="GD5" s="366" t="s">
        <v>654</v>
      </c>
      <c r="GE5" s="366" t="s">
        <v>655</v>
      </c>
      <c r="GF5" s="367" t="s">
        <v>1182</v>
      </c>
      <c r="GG5" s="367" t="s">
        <v>1183</v>
      </c>
      <c r="GH5" s="366" t="s">
        <v>656</v>
      </c>
      <c r="GI5" s="366" t="s">
        <v>657</v>
      </c>
      <c r="GJ5" s="363" t="s">
        <v>658</v>
      </c>
      <c r="GK5" s="363" t="s">
        <v>659</v>
      </c>
      <c r="GL5" s="363" t="s">
        <v>660</v>
      </c>
      <c r="GM5" s="363" t="s">
        <v>661</v>
      </c>
      <c r="GN5" s="363" t="s">
        <v>662</v>
      </c>
      <c r="GO5" s="363" t="s">
        <v>663</v>
      </c>
      <c r="GP5" s="363" t="s">
        <v>664</v>
      </c>
      <c r="GQ5" s="363" t="s">
        <v>665</v>
      </c>
      <c r="GR5" s="363" t="s">
        <v>666</v>
      </c>
      <c r="GS5" s="363" t="s">
        <v>667</v>
      </c>
      <c r="GT5" s="363" t="s">
        <v>668</v>
      </c>
      <c r="GU5" s="363" t="s">
        <v>669</v>
      </c>
      <c r="GV5" s="363" t="s">
        <v>670</v>
      </c>
      <c r="GW5" s="363" t="s">
        <v>671</v>
      </c>
      <c r="GX5" s="363" t="s">
        <v>672</v>
      </c>
      <c r="GY5" s="363" t="s">
        <v>673</v>
      </c>
      <c r="GZ5" s="363" t="s">
        <v>674</v>
      </c>
      <c r="HA5" s="363" t="s">
        <v>675</v>
      </c>
      <c r="HB5" s="363" t="s">
        <v>676</v>
      </c>
      <c r="HC5" s="363" t="s">
        <v>677</v>
      </c>
      <c r="HD5" s="363" t="s">
        <v>678</v>
      </c>
    </row>
    <row r="6" spans="1:488" s="401" customFormat="1" ht="22.05" customHeight="1" x14ac:dyDescent="0.25">
      <c r="A6" s="412">
        <v>2022</v>
      </c>
      <c r="B6" s="399">
        <v>245.3</v>
      </c>
      <c r="C6" s="399">
        <v>243.5</v>
      </c>
      <c r="D6" s="399">
        <v>239.8</v>
      </c>
      <c r="E6" s="399">
        <v>243.3</v>
      </c>
      <c r="F6" s="399">
        <v>242.2</v>
      </c>
      <c r="G6" s="399">
        <v>316.39999999999998</v>
      </c>
      <c r="H6" s="399">
        <v>250.3</v>
      </c>
      <c r="I6" s="399">
        <v>240.1</v>
      </c>
      <c r="J6" s="399">
        <v>226.3</v>
      </c>
      <c r="K6" s="399">
        <v>228.7</v>
      </c>
      <c r="L6" s="399">
        <v>305.3</v>
      </c>
      <c r="M6" s="399">
        <v>305.8</v>
      </c>
      <c r="N6" s="399">
        <v>309.7</v>
      </c>
      <c r="O6" s="399">
        <v>315.89999999999998</v>
      </c>
      <c r="P6" s="399">
        <v>304.5</v>
      </c>
      <c r="Q6" s="399">
        <v>304.60000000000002</v>
      </c>
      <c r="R6" s="399">
        <v>309.2</v>
      </c>
      <c r="S6" s="399">
        <v>307.39999999999998</v>
      </c>
      <c r="T6" s="399">
        <v>353.9</v>
      </c>
      <c r="U6" s="399">
        <v>302.8</v>
      </c>
      <c r="V6" s="399">
        <v>314</v>
      </c>
      <c r="W6" s="399">
        <v>319.89999999999998</v>
      </c>
      <c r="X6" s="399">
        <v>243.3</v>
      </c>
      <c r="Y6" s="399">
        <v>254.9</v>
      </c>
      <c r="Z6" s="399">
        <v>244.7</v>
      </c>
      <c r="AA6" s="399">
        <v>290.5</v>
      </c>
      <c r="AB6" s="399">
        <v>290.10000000000002</v>
      </c>
      <c r="AC6" s="399">
        <v>293.2</v>
      </c>
      <c r="AD6" s="399">
        <v>288.8</v>
      </c>
      <c r="AE6" s="399">
        <v>291.10000000000002</v>
      </c>
      <c r="AF6" s="399">
        <v>290</v>
      </c>
      <c r="AG6" s="399">
        <v>290.60000000000002</v>
      </c>
      <c r="AH6" s="399">
        <v>290.2</v>
      </c>
      <c r="AI6" s="399">
        <v>286.7</v>
      </c>
      <c r="AJ6" s="399">
        <v>268.5</v>
      </c>
      <c r="AK6" s="399">
        <v>238.6</v>
      </c>
      <c r="AL6" s="399">
        <v>236.5</v>
      </c>
      <c r="AM6" s="399">
        <v>243.4</v>
      </c>
      <c r="AN6" s="399">
        <v>214.7</v>
      </c>
      <c r="AO6" s="399">
        <v>240.4</v>
      </c>
      <c r="AP6" s="399">
        <v>243.1</v>
      </c>
      <c r="AQ6" s="399">
        <v>241.4</v>
      </c>
      <c r="AR6" s="399">
        <v>249.2</v>
      </c>
      <c r="AS6" s="399">
        <v>243</v>
      </c>
      <c r="AT6" s="399">
        <v>240.1</v>
      </c>
      <c r="AU6" s="399">
        <v>244.8</v>
      </c>
      <c r="AV6" s="399">
        <v>324.89999999999998</v>
      </c>
      <c r="AW6" s="399">
        <v>254.4</v>
      </c>
      <c r="AX6" s="399">
        <v>255.6</v>
      </c>
      <c r="AY6" s="399">
        <v>324.3</v>
      </c>
      <c r="AZ6" s="399">
        <v>281.8</v>
      </c>
      <c r="BA6" s="399">
        <v>318.2</v>
      </c>
      <c r="BB6" s="399">
        <v>281.3</v>
      </c>
      <c r="BC6" s="399">
        <v>301.10000000000002</v>
      </c>
      <c r="BD6" s="399">
        <v>284.89999999999998</v>
      </c>
      <c r="BE6" s="399">
        <v>244.5</v>
      </c>
      <c r="BF6" s="399">
        <v>249.7</v>
      </c>
      <c r="BG6" s="399">
        <v>245.8</v>
      </c>
      <c r="BH6" s="399">
        <v>272.3</v>
      </c>
      <c r="BI6" s="399">
        <v>256.3</v>
      </c>
      <c r="BJ6" s="399">
        <v>243</v>
      </c>
      <c r="BK6" s="399">
        <v>254.2</v>
      </c>
      <c r="BL6" s="399">
        <v>246.1</v>
      </c>
      <c r="BM6" s="399">
        <v>254.3</v>
      </c>
      <c r="BN6" s="399">
        <v>262.7</v>
      </c>
      <c r="BO6" s="399">
        <v>258.8</v>
      </c>
      <c r="BP6" s="399">
        <v>247.2</v>
      </c>
      <c r="BQ6" s="399">
        <v>242.1</v>
      </c>
      <c r="BR6" s="399">
        <v>246.6</v>
      </c>
      <c r="BS6" s="399">
        <v>238.1</v>
      </c>
      <c r="BT6" s="399">
        <v>239.9</v>
      </c>
      <c r="BU6" s="399">
        <v>246</v>
      </c>
      <c r="BV6" s="399">
        <v>233.7</v>
      </c>
      <c r="BW6" s="399">
        <v>229.6</v>
      </c>
      <c r="BX6" s="399">
        <v>241.1</v>
      </c>
      <c r="BY6" s="399">
        <v>232.8</v>
      </c>
      <c r="BZ6" s="399">
        <v>256.2</v>
      </c>
      <c r="CA6" s="399">
        <v>262.2</v>
      </c>
      <c r="CB6" s="399">
        <v>261.39999999999998</v>
      </c>
      <c r="CC6" s="399">
        <v>314.2</v>
      </c>
      <c r="CD6" s="399">
        <v>286</v>
      </c>
      <c r="CE6" s="399">
        <v>283.60000000000002</v>
      </c>
      <c r="CF6" s="399">
        <v>294.2</v>
      </c>
      <c r="CG6" s="399">
        <v>294.5</v>
      </c>
      <c r="CH6" s="399">
        <v>283.5</v>
      </c>
      <c r="CI6" s="399">
        <v>272.2</v>
      </c>
      <c r="CJ6" s="399">
        <v>279.89999999999998</v>
      </c>
      <c r="CK6" s="399">
        <v>288</v>
      </c>
      <c r="CL6" s="399">
        <v>267.7</v>
      </c>
      <c r="CM6" s="399">
        <v>271.5</v>
      </c>
      <c r="CN6" s="399">
        <v>277.7</v>
      </c>
      <c r="CO6" s="399">
        <v>258.60000000000002</v>
      </c>
      <c r="CP6" s="399">
        <v>251.2</v>
      </c>
      <c r="CQ6" s="399">
        <v>247.7</v>
      </c>
      <c r="CR6" s="399">
        <v>260.5</v>
      </c>
      <c r="CS6" s="399">
        <v>253.4</v>
      </c>
      <c r="CT6" s="399">
        <v>286.8</v>
      </c>
      <c r="CU6" s="399">
        <v>297.60000000000002</v>
      </c>
      <c r="CV6" s="399">
        <v>281.89999999999998</v>
      </c>
      <c r="CW6" s="399">
        <v>232.8</v>
      </c>
      <c r="CX6" s="399">
        <v>236.9</v>
      </c>
      <c r="CY6" s="399">
        <v>275.3</v>
      </c>
      <c r="CZ6" s="399">
        <v>257.7</v>
      </c>
      <c r="DA6" s="399">
        <v>276</v>
      </c>
      <c r="DB6" s="399">
        <v>251.2</v>
      </c>
      <c r="DC6" s="399">
        <v>256.2</v>
      </c>
      <c r="DD6" s="399">
        <v>255.6</v>
      </c>
      <c r="DE6" s="399">
        <v>247.6</v>
      </c>
      <c r="DF6" s="399">
        <v>250.2</v>
      </c>
      <c r="DG6" s="399">
        <v>289.7</v>
      </c>
      <c r="DH6" s="399">
        <v>261.8</v>
      </c>
      <c r="DI6" s="399">
        <v>266.89999999999998</v>
      </c>
      <c r="DJ6" s="399">
        <v>264.7</v>
      </c>
      <c r="DK6" s="399">
        <v>309.3</v>
      </c>
      <c r="DL6" s="399">
        <v>308.39999999999998</v>
      </c>
      <c r="DM6" s="399">
        <v>316</v>
      </c>
      <c r="DN6" s="399">
        <v>310.3</v>
      </c>
      <c r="DO6" s="399">
        <v>311.8</v>
      </c>
      <c r="DP6" s="399">
        <v>241.4</v>
      </c>
      <c r="DQ6" s="399">
        <v>283.10000000000002</v>
      </c>
      <c r="DR6" s="399">
        <v>271.10000000000002</v>
      </c>
      <c r="DS6" s="399">
        <v>289</v>
      </c>
      <c r="DT6" s="399">
        <v>351.2</v>
      </c>
      <c r="DU6" s="399">
        <v>279.10000000000002</v>
      </c>
      <c r="DV6" s="399">
        <v>282</v>
      </c>
      <c r="DW6" s="399">
        <v>273.3</v>
      </c>
      <c r="DX6" s="399">
        <v>271.10000000000002</v>
      </c>
      <c r="DY6" s="399">
        <v>320.5</v>
      </c>
      <c r="DZ6" s="399">
        <v>242.1</v>
      </c>
      <c r="EA6" s="399">
        <v>241.7</v>
      </c>
      <c r="EB6" s="399">
        <v>238.1</v>
      </c>
      <c r="EC6" s="399">
        <v>236.8</v>
      </c>
      <c r="ED6" s="399">
        <v>237.5</v>
      </c>
      <c r="EE6" s="399">
        <v>249.7</v>
      </c>
      <c r="EF6" s="399">
        <v>256.7</v>
      </c>
      <c r="EG6" s="399">
        <v>248.9</v>
      </c>
      <c r="EH6" s="399">
        <v>249.1</v>
      </c>
      <c r="EI6" s="399">
        <v>263.8</v>
      </c>
      <c r="EJ6" s="399">
        <v>254.6</v>
      </c>
      <c r="EK6" s="399">
        <v>242.3</v>
      </c>
      <c r="EL6" s="399">
        <v>250.9</v>
      </c>
      <c r="EM6" s="399">
        <v>243.7</v>
      </c>
      <c r="EN6" s="399">
        <v>259.3</v>
      </c>
      <c r="EO6" s="399">
        <v>251.3</v>
      </c>
      <c r="EP6" s="399">
        <v>236.4</v>
      </c>
      <c r="EQ6" s="399">
        <v>237.4</v>
      </c>
      <c r="ER6" s="399">
        <v>230.8</v>
      </c>
      <c r="ES6" s="399">
        <v>284.5</v>
      </c>
      <c r="ET6" s="399">
        <v>288.5</v>
      </c>
      <c r="EU6" s="399">
        <v>276.60000000000002</v>
      </c>
      <c r="EV6" s="399">
        <v>259.10000000000002</v>
      </c>
      <c r="EW6" s="399">
        <v>271.2</v>
      </c>
      <c r="EX6" s="399">
        <v>316</v>
      </c>
      <c r="EY6" s="399">
        <v>279.39999999999998</v>
      </c>
      <c r="EZ6" s="399">
        <v>271.8</v>
      </c>
      <c r="FA6" s="399">
        <v>267.39999999999998</v>
      </c>
      <c r="FB6" s="399">
        <v>290.3</v>
      </c>
      <c r="FC6" s="400">
        <v>241.8</v>
      </c>
      <c r="FD6" s="399">
        <v>238.7</v>
      </c>
      <c r="FE6" s="399">
        <v>239.1</v>
      </c>
      <c r="FF6" s="399">
        <v>253.2</v>
      </c>
      <c r="FG6" s="399">
        <v>237.9</v>
      </c>
      <c r="FH6" s="399">
        <v>233.2</v>
      </c>
      <c r="FI6" s="399">
        <v>244.1</v>
      </c>
      <c r="FJ6" s="399">
        <v>247.8</v>
      </c>
      <c r="FK6" s="399">
        <v>230.5</v>
      </c>
      <c r="FL6" s="399">
        <v>232.5</v>
      </c>
      <c r="FM6" s="399">
        <v>231.2</v>
      </c>
      <c r="FN6" s="399">
        <v>230.9</v>
      </c>
      <c r="FO6" s="399">
        <v>232.3</v>
      </c>
      <c r="FP6" s="399">
        <v>242.3</v>
      </c>
      <c r="FQ6" s="399">
        <v>234.5</v>
      </c>
      <c r="FR6" s="399">
        <v>234.4</v>
      </c>
      <c r="FS6" s="399">
        <v>238.7</v>
      </c>
      <c r="FT6" s="399">
        <v>234.4</v>
      </c>
      <c r="FU6" s="399">
        <v>231.6</v>
      </c>
      <c r="FV6" s="399">
        <v>233.4</v>
      </c>
      <c r="FW6" s="399">
        <v>228.8</v>
      </c>
      <c r="FX6" s="399">
        <v>227.7</v>
      </c>
      <c r="FY6" s="399">
        <v>243.9</v>
      </c>
      <c r="FZ6" s="399">
        <v>251.2</v>
      </c>
      <c r="GA6" s="399">
        <v>257.2</v>
      </c>
      <c r="GB6" s="399">
        <v>251.4</v>
      </c>
      <c r="GC6" s="399">
        <v>256.2</v>
      </c>
      <c r="GD6" s="399">
        <v>239.3</v>
      </c>
      <c r="GE6" s="399">
        <v>242.6</v>
      </c>
      <c r="GF6" s="315">
        <f t="shared" ref="GF6:GF30" si="0">(GD6+GH6)/2</f>
        <v>240.5</v>
      </c>
      <c r="GG6" s="315">
        <f t="shared" ref="GG6:GG30" si="1">(GC6+GH6)/2</f>
        <v>248.95</v>
      </c>
      <c r="GH6" s="371">
        <v>241.7</v>
      </c>
      <c r="GI6" s="399">
        <v>241.3</v>
      </c>
      <c r="GJ6" s="399">
        <v>295.10000000000002</v>
      </c>
      <c r="GK6" s="399">
        <v>259.89999999999998</v>
      </c>
      <c r="GL6" s="399">
        <v>288.2</v>
      </c>
      <c r="GM6" s="399">
        <v>259.5</v>
      </c>
      <c r="GN6" s="399">
        <v>260.2</v>
      </c>
      <c r="GO6" s="399">
        <v>274.7</v>
      </c>
      <c r="GP6" s="399">
        <v>276.3</v>
      </c>
      <c r="GQ6" s="399">
        <v>276.7</v>
      </c>
      <c r="GR6" s="399">
        <v>279.7</v>
      </c>
      <c r="GS6" s="399">
        <v>274.89999999999998</v>
      </c>
      <c r="GT6" s="399">
        <v>245.3</v>
      </c>
      <c r="GU6" s="399">
        <v>319.5</v>
      </c>
      <c r="GV6" s="399">
        <v>321.60000000000002</v>
      </c>
      <c r="GW6" s="399">
        <v>308.5</v>
      </c>
      <c r="GX6" s="399">
        <v>304.39999999999998</v>
      </c>
      <c r="GY6" s="399">
        <v>299.39999999999998</v>
      </c>
      <c r="GZ6" s="399">
        <v>293.2</v>
      </c>
      <c r="HA6" s="399">
        <v>299.7</v>
      </c>
      <c r="HB6" s="399">
        <v>314.60000000000002</v>
      </c>
      <c r="HC6" s="399">
        <v>306</v>
      </c>
      <c r="HD6" s="399">
        <v>287.5</v>
      </c>
    </row>
    <row r="7" spans="1:488" s="368" customFormat="1" ht="22.05" customHeight="1" x14ac:dyDescent="0.25">
      <c r="A7" s="368">
        <v>2021</v>
      </c>
      <c r="B7" s="368">
        <v>204.8</v>
      </c>
      <c r="C7" s="368">
        <v>202.8</v>
      </c>
      <c r="D7" s="368">
        <v>202</v>
      </c>
      <c r="E7" s="368">
        <v>205.5</v>
      </c>
      <c r="F7" s="368">
        <v>202.6</v>
      </c>
      <c r="G7" s="368">
        <v>272.2</v>
      </c>
      <c r="H7" s="368">
        <v>208.2</v>
      </c>
      <c r="I7" s="368">
        <v>203.9</v>
      </c>
      <c r="J7" s="368">
        <v>191.8</v>
      </c>
      <c r="K7" s="368">
        <v>193.6</v>
      </c>
      <c r="L7" s="368">
        <v>263</v>
      </c>
      <c r="M7" s="368">
        <v>261</v>
      </c>
      <c r="N7" s="368">
        <v>265.89999999999998</v>
      </c>
      <c r="O7" s="368">
        <v>267.3</v>
      </c>
      <c r="P7" s="368">
        <v>261.10000000000002</v>
      </c>
      <c r="Q7" s="368">
        <v>262.89999999999998</v>
      </c>
      <c r="R7" s="368">
        <v>272.7</v>
      </c>
      <c r="S7" s="368">
        <v>261.89999999999998</v>
      </c>
      <c r="T7" s="368">
        <v>311.7</v>
      </c>
      <c r="U7" s="368">
        <v>259.3</v>
      </c>
      <c r="V7" s="368">
        <v>271.60000000000002</v>
      </c>
      <c r="W7" s="368">
        <v>282.5</v>
      </c>
      <c r="X7" s="368">
        <v>210.4</v>
      </c>
      <c r="Y7" s="368">
        <v>218.2</v>
      </c>
      <c r="Z7" s="368">
        <v>208.1</v>
      </c>
      <c r="AA7" s="368">
        <v>253.7</v>
      </c>
      <c r="AB7" s="368">
        <v>252.8</v>
      </c>
      <c r="AC7" s="368">
        <v>256.60000000000002</v>
      </c>
      <c r="AD7" s="368">
        <v>252.2</v>
      </c>
      <c r="AE7" s="368">
        <v>254.8</v>
      </c>
      <c r="AF7" s="368">
        <v>253.1</v>
      </c>
      <c r="AG7" s="368">
        <v>260.5</v>
      </c>
      <c r="AH7" s="368">
        <v>253.6</v>
      </c>
      <c r="AI7" s="368">
        <v>245.4</v>
      </c>
      <c r="AJ7" s="368">
        <v>227.7</v>
      </c>
      <c r="AK7" s="368">
        <v>202.9</v>
      </c>
      <c r="AL7" s="368">
        <v>199</v>
      </c>
      <c r="AM7" s="368">
        <v>200.6</v>
      </c>
      <c r="AN7" s="368">
        <v>198.9</v>
      </c>
      <c r="AO7" s="368">
        <v>200.2</v>
      </c>
      <c r="AP7" s="368">
        <v>200</v>
      </c>
      <c r="AQ7" s="368">
        <v>203.1</v>
      </c>
      <c r="AR7" s="368">
        <v>211.6</v>
      </c>
      <c r="AS7" s="368">
        <v>204.2</v>
      </c>
      <c r="AT7" s="368">
        <v>203.6</v>
      </c>
      <c r="AU7" s="368">
        <v>205.1</v>
      </c>
      <c r="AV7" s="368">
        <v>280.39999999999998</v>
      </c>
      <c r="AW7" s="368">
        <v>216.8</v>
      </c>
      <c r="AX7" s="368">
        <v>216.2</v>
      </c>
      <c r="AY7" s="368">
        <v>286.39999999999998</v>
      </c>
      <c r="AZ7" s="368">
        <v>241.6</v>
      </c>
      <c r="BA7" s="368">
        <v>282.3</v>
      </c>
      <c r="BB7" s="368">
        <v>245.3</v>
      </c>
      <c r="BC7" s="368">
        <v>264.5</v>
      </c>
      <c r="BD7" s="368">
        <v>243.7</v>
      </c>
      <c r="BE7" s="368">
        <v>211.7</v>
      </c>
      <c r="BF7" s="368">
        <v>213.4</v>
      </c>
      <c r="BG7" s="368">
        <v>208</v>
      </c>
      <c r="BH7" s="368">
        <v>239.5</v>
      </c>
      <c r="BI7" s="368">
        <v>220.3</v>
      </c>
      <c r="BJ7" s="368">
        <v>209.9</v>
      </c>
      <c r="BK7" s="368">
        <v>218.4</v>
      </c>
      <c r="BL7" s="368">
        <v>214.2</v>
      </c>
      <c r="BM7" s="368">
        <v>219.6</v>
      </c>
      <c r="BN7" s="368">
        <v>228.4</v>
      </c>
      <c r="BO7" s="368">
        <v>221.9</v>
      </c>
      <c r="BP7" s="368">
        <v>212.8</v>
      </c>
      <c r="BQ7" s="368">
        <v>209.1</v>
      </c>
      <c r="BR7" s="368">
        <v>210.8</v>
      </c>
      <c r="BS7" s="368">
        <v>202.9</v>
      </c>
      <c r="BT7" s="368">
        <v>206.5</v>
      </c>
      <c r="BU7" s="368">
        <v>208.3</v>
      </c>
      <c r="BV7" s="368">
        <v>199.1</v>
      </c>
      <c r="BW7" s="368">
        <v>197</v>
      </c>
      <c r="BX7" s="368">
        <v>202.4</v>
      </c>
      <c r="BY7" s="368">
        <v>198.8</v>
      </c>
      <c r="BZ7" s="368">
        <v>220</v>
      </c>
      <c r="CA7" s="368">
        <v>225.8</v>
      </c>
      <c r="CB7" s="368">
        <v>223.8</v>
      </c>
      <c r="CC7" s="368">
        <v>271.89999999999998</v>
      </c>
      <c r="CD7" s="368">
        <v>252.3</v>
      </c>
      <c r="CE7" s="368">
        <v>250</v>
      </c>
      <c r="CF7" s="368">
        <v>260</v>
      </c>
      <c r="CG7" s="368">
        <v>260.3</v>
      </c>
      <c r="CH7" s="368">
        <v>249.8</v>
      </c>
      <c r="CI7" s="368">
        <v>238.8</v>
      </c>
      <c r="CJ7" s="368">
        <v>245.3</v>
      </c>
      <c r="CK7" s="368">
        <v>253.2</v>
      </c>
      <c r="CL7" s="368">
        <v>232.8</v>
      </c>
      <c r="CM7" s="368">
        <v>236.7</v>
      </c>
      <c r="CN7" s="368">
        <v>239</v>
      </c>
      <c r="CO7" s="368">
        <v>222.4</v>
      </c>
      <c r="CP7" s="368">
        <v>216.3</v>
      </c>
      <c r="CQ7" s="368">
        <v>212.4</v>
      </c>
      <c r="CR7" s="368">
        <v>224.6</v>
      </c>
      <c r="CS7" s="368">
        <v>218</v>
      </c>
      <c r="CT7" s="368">
        <v>242.5</v>
      </c>
      <c r="CU7" s="368">
        <v>256.8</v>
      </c>
      <c r="CV7" s="368">
        <v>240.5</v>
      </c>
      <c r="CW7" s="368">
        <v>197.7</v>
      </c>
      <c r="CX7" s="368">
        <v>200.9</v>
      </c>
      <c r="CY7" s="368">
        <v>236.9</v>
      </c>
      <c r="CZ7" s="368">
        <v>223.7</v>
      </c>
      <c r="DA7" s="368">
        <v>241</v>
      </c>
      <c r="DB7" s="368">
        <v>212.4</v>
      </c>
      <c r="DC7" s="368">
        <v>214.4</v>
      </c>
      <c r="DD7" s="368">
        <v>216.3</v>
      </c>
      <c r="DE7" s="368">
        <v>214.8</v>
      </c>
      <c r="DF7" s="368">
        <v>216.7</v>
      </c>
      <c r="DG7" s="368">
        <v>248.6</v>
      </c>
      <c r="DH7" s="368">
        <v>224.9</v>
      </c>
      <c r="DI7" s="368">
        <v>229.1</v>
      </c>
      <c r="DJ7" s="368">
        <v>226.7</v>
      </c>
      <c r="DK7" s="368">
        <v>271.7</v>
      </c>
      <c r="DL7" s="368">
        <v>272</v>
      </c>
      <c r="DM7" s="368">
        <v>278.39999999999998</v>
      </c>
      <c r="DN7" s="368">
        <v>274.7</v>
      </c>
      <c r="DO7" s="368">
        <v>273.10000000000002</v>
      </c>
      <c r="DP7" s="368">
        <v>205</v>
      </c>
      <c r="DQ7" s="368">
        <v>245</v>
      </c>
      <c r="DR7" s="368">
        <v>235</v>
      </c>
      <c r="DS7" s="368">
        <v>248.1</v>
      </c>
      <c r="DT7" s="368">
        <v>313</v>
      </c>
      <c r="DU7" s="368">
        <v>238.9</v>
      </c>
      <c r="DV7" s="368">
        <v>243.7</v>
      </c>
      <c r="DW7" s="368">
        <v>236.2</v>
      </c>
      <c r="DX7" s="368">
        <v>234.4</v>
      </c>
      <c r="DY7" s="368">
        <v>286.2</v>
      </c>
      <c r="DZ7" s="368">
        <v>204.8</v>
      </c>
      <c r="EA7" s="368">
        <v>203.9</v>
      </c>
      <c r="EB7" s="368">
        <v>201.9</v>
      </c>
      <c r="EC7" s="368">
        <v>200.9</v>
      </c>
      <c r="ED7" s="368">
        <v>201.6</v>
      </c>
      <c r="EE7" s="368">
        <v>213.4</v>
      </c>
      <c r="EF7" s="368">
        <v>223.2</v>
      </c>
      <c r="EG7" s="368">
        <v>216.6</v>
      </c>
      <c r="EH7" s="368">
        <v>214.4</v>
      </c>
      <c r="EI7" s="368">
        <v>227.9</v>
      </c>
      <c r="EJ7" s="368">
        <v>221.3</v>
      </c>
      <c r="EK7" s="368">
        <v>211.2</v>
      </c>
      <c r="EL7" s="368">
        <v>218.5</v>
      </c>
      <c r="EM7" s="368">
        <v>212.5</v>
      </c>
      <c r="EN7" s="368">
        <v>226.6</v>
      </c>
      <c r="EO7" s="368">
        <v>219.3</v>
      </c>
      <c r="EP7" s="368">
        <v>200.4</v>
      </c>
      <c r="EQ7" s="368">
        <v>204.4</v>
      </c>
      <c r="ER7" s="368">
        <v>197.4</v>
      </c>
      <c r="ES7" s="368">
        <v>241.5</v>
      </c>
      <c r="ET7" s="368">
        <v>243.1</v>
      </c>
      <c r="EU7" s="368">
        <v>242.9</v>
      </c>
      <c r="EV7" s="368">
        <v>225.1</v>
      </c>
      <c r="EW7" s="368">
        <v>230.6</v>
      </c>
      <c r="EX7" s="368">
        <v>275.3</v>
      </c>
      <c r="EY7" s="368">
        <v>239.3</v>
      </c>
      <c r="EZ7" s="368">
        <v>236.7</v>
      </c>
      <c r="FA7" s="368">
        <v>232.6</v>
      </c>
      <c r="FB7" s="368">
        <v>250.7</v>
      </c>
      <c r="FC7" s="368">
        <v>201.3</v>
      </c>
      <c r="FD7" s="368">
        <v>200.4</v>
      </c>
      <c r="FE7" s="368">
        <v>204</v>
      </c>
      <c r="FF7" s="368">
        <v>215.9</v>
      </c>
      <c r="FG7" s="368">
        <v>202.8</v>
      </c>
      <c r="FH7" s="368">
        <v>195.5</v>
      </c>
      <c r="FI7" s="368">
        <v>205.2</v>
      </c>
      <c r="FJ7" s="368">
        <v>210.8</v>
      </c>
      <c r="FK7" s="368">
        <v>195.4</v>
      </c>
      <c r="FL7" s="368">
        <v>196.7</v>
      </c>
      <c r="FM7" s="368">
        <v>195.7</v>
      </c>
      <c r="FN7" s="368">
        <v>198.7</v>
      </c>
      <c r="FO7" s="368">
        <v>200.1</v>
      </c>
      <c r="FP7" s="368">
        <v>203.2</v>
      </c>
      <c r="FQ7" s="368">
        <v>196.2</v>
      </c>
      <c r="FR7" s="368">
        <v>197.6</v>
      </c>
      <c r="FS7" s="368">
        <v>204.8</v>
      </c>
      <c r="FT7" s="368">
        <v>196.3</v>
      </c>
      <c r="FU7" s="368">
        <v>194.4</v>
      </c>
      <c r="FV7" s="368">
        <v>199.5</v>
      </c>
      <c r="FW7" s="368">
        <v>192.6</v>
      </c>
      <c r="FX7" s="368">
        <v>192.8</v>
      </c>
      <c r="FY7" s="368">
        <v>207.3</v>
      </c>
      <c r="FZ7" s="368">
        <v>213.2</v>
      </c>
      <c r="GA7" s="368">
        <v>221.3</v>
      </c>
      <c r="GB7" s="368">
        <v>215.8</v>
      </c>
      <c r="GC7" s="368">
        <v>220.5</v>
      </c>
      <c r="GD7" s="368">
        <v>203.7</v>
      </c>
      <c r="GE7" s="368">
        <v>204.5</v>
      </c>
      <c r="GF7" s="315">
        <f t="shared" si="0"/>
        <v>206.45</v>
      </c>
      <c r="GG7" s="315">
        <f t="shared" si="1"/>
        <v>214.85</v>
      </c>
      <c r="GH7" s="306">
        <v>209.2</v>
      </c>
      <c r="GI7" s="368">
        <v>205</v>
      </c>
      <c r="GJ7" s="368">
        <v>256.39999999999998</v>
      </c>
      <c r="GK7" s="368">
        <v>225</v>
      </c>
      <c r="GL7" s="368">
        <v>249.6</v>
      </c>
      <c r="GM7" s="368">
        <v>222.7</v>
      </c>
      <c r="GN7" s="368">
        <v>224.6</v>
      </c>
      <c r="GO7" s="368">
        <v>237.9</v>
      </c>
      <c r="GP7" s="368">
        <v>241.1</v>
      </c>
      <c r="GQ7" s="368">
        <v>240.3</v>
      </c>
      <c r="GR7" s="368">
        <v>244.5</v>
      </c>
      <c r="GS7" s="368">
        <v>240.1</v>
      </c>
      <c r="GT7" s="368">
        <v>209.4</v>
      </c>
      <c r="GU7" s="368">
        <v>257.89999999999998</v>
      </c>
      <c r="GV7" s="368">
        <v>260.8</v>
      </c>
      <c r="GW7" s="368">
        <v>255.1</v>
      </c>
      <c r="GX7" s="368">
        <v>253.8</v>
      </c>
      <c r="GY7" s="368">
        <v>254.8</v>
      </c>
      <c r="GZ7" s="368">
        <v>255.6</v>
      </c>
      <c r="HA7" s="368">
        <v>255.4</v>
      </c>
      <c r="HB7" s="368">
        <v>260.89999999999998</v>
      </c>
      <c r="HC7" s="368">
        <v>256.60000000000002</v>
      </c>
      <c r="HD7" s="389">
        <v>237.7</v>
      </c>
      <c r="HE7" s="390"/>
      <c r="HF7" s="390"/>
      <c r="HG7" s="390"/>
      <c r="HH7" s="390"/>
      <c r="HI7" s="390"/>
      <c r="HJ7" s="390"/>
      <c r="HK7" s="390"/>
      <c r="HL7" s="390"/>
      <c r="HM7" s="390"/>
      <c r="HN7" s="391"/>
    </row>
    <row r="8" spans="1:488" s="314" customFormat="1" ht="22.05" customHeight="1" x14ac:dyDescent="0.25">
      <c r="A8" s="368">
        <v>2020</v>
      </c>
      <c r="B8" s="368">
        <v>201.7</v>
      </c>
      <c r="C8" s="368">
        <v>201.1</v>
      </c>
      <c r="D8" s="368">
        <v>200.1</v>
      </c>
      <c r="E8" s="368">
        <v>202.5</v>
      </c>
      <c r="F8" s="368">
        <v>200.2</v>
      </c>
      <c r="G8" s="368">
        <v>272.3</v>
      </c>
      <c r="H8" s="368">
        <v>205.3</v>
      </c>
      <c r="I8" s="368">
        <v>200.3</v>
      </c>
      <c r="J8" s="368">
        <v>187.6</v>
      </c>
      <c r="K8" s="368">
        <v>191.5</v>
      </c>
      <c r="L8" s="368">
        <v>260.3</v>
      </c>
      <c r="M8" s="368">
        <v>256.89999999999998</v>
      </c>
      <c r="N8" s="368">
        <v>263.10000000000002</v>
      </c>
      <c r="O8" s="368">
        <v>262.89999999999998</v>
      </c>
      <c r="P8" s="368">
        <v>258.60000000000002</v>
      </c>
      <c r="Q8" s="368">
        <v>260.2</v>
      </c>
      <c r="R8" s="368">
        <v>269.5</v>
      </c>
      <c r="S8" s="368">
        <v>256.89999999999998</v>
      </c>
      <c r="T8" s="368">
        <v>305.7</v>
      </c>
      <c r="U8" s="368">
        <v>257.60000000000002</v>
      </c>
      <c r="V8" s="368">
        <v>267.8</v>
      </c>
      <c r="W8" s="368">
        <v>276</v>
      </c>
      <c r="X8" s="368">
        <v>208</v>
      </c>
      <c r="Y8" s="368">
        <v>213.5</v>
      </c>
      <c r="Z8" s="368">
        <v>206.3</v>
      </c>
      <c r="AA8" s="368">
        <v>249.9</v>
      </c>
      <c r="AB8" s="368">
        <v>248</v>
      </c>
      <c r="AC8" s="368">
        <v>250.9</v>
      </c>
      <c r="AD8" s="368">
        <v>247.4</v>
      </c>
      <c r="AE8" s="368">
        <v>250.2</v>
      </c>
      <c r="AF8" s="368">
        <v>249.4</v>
      </c>
      <c r="AG8" s="368">
        <v>255.9</v>
      </c>
      <c r="AH8" s="368">
        <v>249.1</v>
      </c>
      <c r="AI8" s="368">
        <v>239.4</v>
      </c>
      <c r="AJ8" s="368">
        <v>223.8</v>
      </c>
      <c r="AK8" s="368">
        <v>195.3</v>
      </c>
      <c r="AL8" s="368">
        <v>197.6</v>
      </c>
      <c r="AM8" s="368">
        <v>199.2</v>
      </c>
      <c r="AN8" s="368">
        <v>197</v>
      </c>
      <c r="AO8" s="368">
        <v>197.6</v>
      </c>
      <c r="AP8" s="368">
        <v>199.2</v>
      </c>
      <c r="AQ8" s="368">
        <v>200.5</v>
      </c>
      <c r="AR8" s="368">
        <v>205.6</v>
      </c>
      <c r="AS8" s="368">
        <v>201.8</v>
      </c>
      <c r="AT8" s="368">
        <v>200.1</v>
      </c>
      <c r="AU8" s="368">
        <v>203.2</v>
      </c>
      <c r="AV8" s="368">
        <v>278.39999999999998</v>
      </c>
      <c r="AW8" s="368">
        <v>215.4</v>
      </c>
      <c r="AX8" s="368">
        <v>214.5</v>
      </c>
      <c r="AY8" s="368">
        <v>282.7</v>
      </c>
      <c r="AZ8" s="368">
        <v>238.5</v>
      </c>
      <c r="BA8" s="368">
        <v>269.10000000000002</v>
      </c>
      <c r="BB8" s="368">
        <v>237.9</v>
      </c>
      <c r="BC8" s="368">
        <v>253</v>
      </c>
      <c r="BD8" s="368">
        <v>242.2</v>
      </c>
      <c r="BE8" s="368">
        <v>208.9</v>
      </c>
      <c r="BF8" s="368">
        <v>210.6</v>
      </c>
      <c r="BG8" s="368">
        <v>206.3</v>
      </c>
      <c r="BH8" s="368">
        <v>238.6</v>
      </c>
      <c r="BI8" s="368">
        <v>217.7</v>
      </c>
      <c r="BJ8" s="368">
        <v>207.2</v>
      </c>
      <c r="BK8" s="368">
        <v>214.5</v>
      </c>
      <c r="BL8" s="368">
        <v>210.7</v>
      </c>
      <c r="BM8" s="368">
        <v>217.6</v>
      </c>
      <c r="BN8" s="368">
        <v>227.3</v>
      </c>
      <c r="BO8" s="368">
        <v>218.8</v>
      </c>
      <c r="BP8" s="368">
        <v>211.5</v>
      </c>
      <c r="BQ8" s="368">
        <v>205.2</v>
      </c>
      <c r="BR8" s="368">
        <v>207.2</v>
      </c>
      <c r="BS8" s="368">
        <v>202.8</v>
      </c>
      <c r="BT8" s="368">
        <v>203.1</v>
      </c>
      <c r="BU8" s="368">
        <v>206</v>
      </c>
      <c r="BV8" s="368">
        <v>197.9</v>
      </c>
      <c r="BW8" s="368">
        <v>196</v>
      </c>
      <c r="BX8" s="368">
        <v>200.9</v>
      </c>
      <c r="BY8" s="368">
        <v>196</v>
      </c>
      <c r="BZ8" s="368">
        <v>217.8</v>
      </c>
      <c r="CA8" s="368">
        <v>221.4</v>
      </c>
      <c r="CB8" s="368">
        <v>220.8</v>
      </c>
      <c r="CC8" s="368">
        <v>266</v>
      </c>
      <c r="CD8" s="368">
        <v>248.6</v>
      </c>
      <c r="CE8" s="368">
        <v>247.2</v>
      </c>
      <c r="CF8" s="368">
        <v>256.60000000000002</v>
      </c>
      <c r="CG8" s="368">
        <v>254.8</v>
      </c>
      <c r="CH8" s="368">
        <v>246</v>
      </c>
      <c r="CI8" s="368">
        <v>232.7</v>
      </c>
      <c r="CJ8" s="368">
        <v>239.3</v>
      </c>
      <c r="CK8" s="368">
        <v>248</v>
      </c>
      <c r="CL8" s="368">
        <v>228.1</v>
      </c>
      <c r="CM8" s="368">
        <v>228.9</v>
      </c>
      <c r="CN8" s="368">
        <v>234.7</v>
      </c>
      <c r="CO8" s="368">
        <v>216.6</v>
      </c>
      <c r="CP8" s="368">
        <v>211.7</v>
      </c>
      <c r="CQ8" s="368">
        <v>207.1</v>
      </c>
      <c r="CR8" s="368">
        <v>217.1</v>
      </c>
      <c r="CS8" s="368">
        <v>212.8</v>
      </c>
      <c r="CT8" s="368">
        <v>238.5</v>
      </c>
      <c r="CU8" s="368">
        <v>252.1</v>
      </c>
      <c r="CV8" s="368">
        <v>234.8</v>
      </c>
      <c r="CW8" s="368">
        <v>193.9</v>
      </c>
      <c r="CX8" s="368">
        <v>197.1</v>
      </c>
      <c r="CY8" s="368">
        <v>233.7</v>
      </c>
      <c r="CZ8" s="368">
        <v>218.8</v>
      </c>
      <c r="DA8" s="368">
        <v>234.4</v>
      </c>
      <c r="DB8" s="368">
        <v>208.3</v>
      </c>
      <c r="DC8" s="368">
        <v>214.4</v>
      </c>
      <c r="DD8" s="368">
        <v>213.5</v>
      </c>
      <c r="DE8" s="368">
        <v>213.2</v>
      </c>
      <c r="DF8" s="368">
        <v>213.8</v>
      </c>
      <c r="DG8" s="368">
        <v>245.4</v>
      </c>
      <c r="DH8" s="368">
        <v>225.5</v>
      </c>
      <c r="DI8" s="368">
        <v>226.8</v>
      </c>
      <c r="DJ8" s="368">
        <v>224.8</v>
      </c>
      <c r="DK8" s="368">
        <v>268.3</v>
      </c>
      <c r="DL8" s="368">
        <v>265.89999999999998</v>
      </c>
      <c r="DM8" s="368">
        <v>273</v>
      </c>
      <c r="DN8" s="368">
        <v>269.10000000000002</v>
      </c>
      <c r="DO8" s="368">
        <v>262.2</v>
      </c>
      <c r="DP8" s="368">
        <v>204.9</v>
      </c>
      <c r="DQ8" s="368">
        <v>239.9</v>
      </c>
      <c r="DR8" s="368">
        <v>232</v>
      </c>
      <c r="DS8" s="368">
        <v>245.1</v>
      </c>
      <c r="DT8" s="368">
        <v>306</v>
      </c>
      <c r="DU8" s="368">
        <v>237.4</v>
      </c>
      <c r="DV8" s="368">
        <v>239.6</v>
      </c>
      <c r="DW8" s="368">
        <v>233.3</v>
      </c>
      <c r="DX8" s="368">
        <v>231.7</v>
      </c>
      <c r="DY8" s="368">
        <v>281.2</v>
      </c>
      <c r="DZ8" s="368">
        <v>203.6</v>
      </c>
      <c r="EA8" s="368">
        <v>201.3</v>
      </c>
      <c r="EB8" s="368">
        <v>199.3</v>
      </c>
      <c r="EC8" s="368">
        <v>198</v>
      </c>
      <c r="ED8" s="368">
        <v>199</v>
      </c>
      <c r="EE8" s="368">
        <v>213.1</v>
      </c>
      <c r="EF8" s="368">
        <v>218.7</v>
      </c>
      <c r="EG8" s="369">
        <v>212</v>
      </c>
      <c r="EH8" s="369">
        <v>211.6</v>
      </c>
      <c r="EI8" s="369">
        <v>225.6</v>
      </c>
      <c r="EJ8" s="369">
        <v>218.4</v>
      </c>
      <c r="EK8" s="369">
        <v>208.3</v>
      </c>
      <c r="EL8" s="369">
        <v>216</v>
      </c>
      <c r="EM8" s="369">
        <v>208.7</v>
      </c>
      <c r="EN8" s="369">
        <v>222.7</v>
      </c>
      <c r="EO8" s="369">
        <v>214.2</v>
      </c>
      <c r="EP8" s="368">
        <v>195.3</v>
      </c>
      <c r="EQ8" s="368">
        <v>197.2</v>
      </c>
      <c r="ER8" s="368">
        <v>193.6</v>
      </c>
      <c r="ES8" s="368">
        <v>235.2</v>
      </c>
      <c r="ET8" s="368">
        <v>240.1</v>
      </c>
      <c r="EU8" s="368">
        <v>240.1</v>
      </c>
      <c r="EV8" s="368">
        <v>221.9</v>
      </c>
      <c r="EW8" s="368">
        <v>229.6</v>
      </c>
      <c r="EX8" s="368">
        <v>268.8</v>
      </c>
      <c r="EY8" s="368">
        <v>234.6</v>
      </c>
      <c r="EZ8" s="368">
        <v>236.2</v>
      </c>
      <c r="FA8" s="368">
        <v>229.7</v>
      </c>
      <c r="FB8" s="368">
        <v>248.8</v>
      </c>
      <c r="FC8" s="370">
        <v>200.6</v>
      </c>
      <c r="FD8" s="368">
        <v>199.9</v>
      </c>
      <c r="FE8" s="368">
        <v>204</v>
      </c>
      <c r="FF8" s="368">
        <v>210.3</v>
      </c>
      <c r="FG8" s="368">
        <v>200.4</v>
      </c>
      <c r="FH8" s="368">
        <v>191.3</v>
      </c>
      <c r="FI8" s="368">
        <v>203.3</v>
      </c>
      <c r="FJ8" s="368">
        <v>209.2</v>
      </c>
      <c r="FK8" s="368">
        <v>192.6</v>
      </c>
      <c r="FL8" s="368">
        <v>193.7</v>
      </c>
      <c r="FM8" s="368">
        <v>191.3</v>
      </c>
      <c r="FN8" s="368">
        <v>195.8</v>
      </c>
      <c r="FO8" s="368">
        <v>193.7</v>
      </c>
      <c r="FP8" s="368">
        <v>199.5</v>
      </c>
      <c r="FQ8" s="368">
        <v>194.1</v>
      </c>
      <c r="FR8" s="368">
        <v>194.4</v>
      </c>
      <c r="FS8" s="368">
        <v>202.2</v>
      </c>
      <c r="FT8" s="368">
        <v>195.5</v>
      </c>
      <c r="FU8" s="368">
        <v>193.4</v>
      </c>
      <c r="FV8" s="368">
        <v>195.5</v>
      </c>
      <c r="FW8" s="368">
        <v>189.3</v>
      </c>
      <c r="FX8" s="368">
        <v>190.6</v>
      </c>
      <c r="FY8" s="368">
        <v>205.6</v>
      </c>
      <c r="FZ8" s="368">
        <v>211.8</v>
      </c>
      <c r="GA8" s="368">
        <v>220.1</v>
      </c>
      <c r="GB8" s="368">
        <v>215.3</v>
      </c>
      <c r="GC8" s="368">
        <v>217.6</v>
      </c>
      <c r="GD8" s="368">
        <v>202.3</v>
      </c>
      <c r="GE8" s="368">
        <v>204.3</v>
      </c>
      <c r="GF8" s="315">
        <f t="shared" si="0"/>
        <v>205.25</v>
      </c>
      <c r="GG8" s="315">
        <f t="shared" si="1"/>
        <v>212.89999999999998</v>
      </c>
      <c r="GH8" s="306">
        <v>208.2</v>
      </c>
      <c r="GI8" s="368">
        <v>202.9</v>
      </c>
      <c r="GJ8" s="368">
        <v>252.3</v>
      </c>
      <c r="GK8" s="368">
        <v>216.5</v>
      </c>
      <c r="GL8" s="368">
        <v>240.4</v>
      </c>
      <c r="GM8" s="368">
        <v>221.9</v>
      </c>
      <c r="GN8" s="368">
        <v>222</v>
      </c>
      <c r="GO8" s="368">
        <v>232.2</v>
      </c>
      <c r="GP8" s="368">
        <v>237.7</v>
      </c>
      <c r="GQ8" s="368">
        <v>233.8</v>
      </c>
      <c r="GR8" s="368">
        <v>240.5</v>
      </c>
      <c r="GS8" s="368">
        <v>238.5</v>
      </c>
      <c r="GT8" s="368">
        <v>207</v>
      </c>
      <c r="GU8" s="368">
        <v>256</v>
      </c>
      <c r="GV8" s="368">
        <v>259.39999999999998</v>
      </c>
      <c r="GW8" s="368">
        <v>254.4</v>
      </c>
      <c r="GX8" s="368">
        <v>252.2</v>
      </c>
      <c r="GY8" s="368">
        <v>249.7</v>
      </c>
      <c r="GZ8" s="368">
        <v>254.1</v>
      </c>
      <c r="HA8" s="368">
        <v>249.8</v>
      </c>
      <c r="HB8" s="368">
        <v>259.5</v>
      </c>
      <c r="HC8" s="368">
        <v>250.9</v>
      </c>
      <c r="HD8" s="368">
        <v>235.6</v>
      </c>
    </row>
    <row r="9" spans="1:488" s="409" customFormat="1" ht="22.05" customHeight="1" x14ac:dyDescent="0.25">
      <c r="A9" s="314">
        <v>2019</v>
      </c>
      <c r="B9" s="314">
        <v>198.1</v>
      </c>
      <c r="C9" s="314">
        <v>197.7</v>
      </c>
      <c r="D9" s="314">
        <v>195</v>
      </c>
      <c r="E9" s="314">
        <v>197.4</v>
      </c>
      <c r="F9" s="314">
        <v>197.6</v>
      </c>
      <c r="G9" s="314">
        <v>265.8</v>
      </c>
      <c r="H9" s="314">
        <v>203.3</v>
      </c>
      <c r="I9" s="314">
        <v>198.4</v>
      </c>
      <c r="J9" s="314">
        <v>187.4</v>
      </c>
      <c r="K9" s="314">
        <v>190.2</v>
      </c>
      <c r="L9" s="314">
        <v>255.5</v>
      </c>
      <c r="M9" s="314">
        <v>252.9</v>
      </c>
      <c r="N9" s="314">
        <v>256.89999999999998</v>
      </c>
      <c r="O9" s="314">
        <v>258.39999999999998</v>
      </c>
      <c r="P9" s="314">
        <v>253.4</v>
      </c>
      <c r="Q9" s="314">
        <v>254.9</v>
      </c>
      <c r="R9" s="314">
        <v>264.2</v>
      </c>
      <c r="S9" s="314">
        <v>251.1</v>
      </c>
      <c r="T9" s="314">
        <v>297.8</v>
      </c>
      <c r="U9" s="314">
        <v>251.7</v>
      </c>
      <c r="V9" s="314">
        <v>261.7</v>
      </c>
      <c r="W9" s="314">
        <v>271.89999999999998</v>
      </c>
      <c r="X9" s="314">
        <v>202.7</v>
      </c>
      <c r="Y9" s="314">
        <v>207.8</v>
      </c>
      <c r="Z9" s="314">
        <v>203.1</v>
      </c>
      <c r="AA9" s="314">
        <v>244.1</v>
      </c>
      <c r="AB9" s="314">
        <v>242.7</v>
      </c>
      <c r="AC9" s="314">
        <v>243.9</v>
      </c>
      <c r="AD9" s="314">
        <v>242.2</v>
      </c>
      <c r="AE9" s="314">
        <v>244.9</v>
      </c>
      <c r="AF9" s="314">
        <v>243.6</v>
      </c>
      <c r="AG9" s="314">
        <v>250.1</v>
      </c>
      <c r="AH9" s="314">
        <v>243.8</v>
      </c>
      <c r="AI9" s="314">
        <v>237.8</v>
      </c>
      <c r="AJ9" s="314">
        <v>218.4</v>
      </c>
      <c r="AK9" s="314">
        <v>191.9</v>
      </c>
      <c r="AL9" s="314">
        <v>192</v>
      </c>
      <c r="AM9" s="314">
        <v>192.2</v>
      </c>
      <c r="AN9" s="314">
        <v>194.7</v>
      </c>
      <c r="AO9" s="314">
        <v>192.8</v>
      </c>
      <c r="AP9" s="314">
        <v>193.8</v>
      </c>
      <c r="AQ9" s="314">
        <v>198</v>
      </c>
      <c r="AR9" s="314">
        <v>204.2</v>
      </c>
      <c r="AS9" s="314">
        <v>198.1</v>
      </c>
      <c r="AT9" s="314">
        <v>197.4</v>
      </c>
      <c r="AU9" s="314">
        <v>199.6</v>
      </c>
      <c r="AV9" s="314">
        <v>273</v>
      </c>
      <c r="AW9" s="314">
        <v>212</v>
      </c>
      <c r="AX9" s="314">
        <v>212.2</v>
      </c>
      <c r="AY9" s="314">
        <v>275.5</v>
      </c>
      <c r="AZ9" s="314">
        <v>232.3</v>
      </c>
      <c r="BA9" s="314">
        <v>267.2</v>
      </c>
      <c r="BB9" s="314">
        <v>237.1</v>
      </c>
      <c r="BC9" s="314">
        <v>252.2</v>
      </c>
      <c r="BD9" s="314">
        <v>236.6</v>
      </c>
      <c r="BE9" s="314">
        <v>206.8</v>
      </c>
      <c r="BF9" s="314">
        <v>208.6</v>
      </c>
      <c r="BG9" s="314">
        <v>204.1</v>
      </c>
      <c r="BH9" s="314">
        <v>234.1</v>
      </c>
      <c r="BI9" s="314">
        <v>211</v>
      </c>
      <c r="BJ9" s="314">
        <v>205.3</v>
      </c>
      <c r="BK9" s="314">
        <v>211.6</v>
      </c>
      <c r="BL9" s="314">
        <v>208.7</v>
      </c>
      <c r="BM9" s="314">
        <v>212.5</v>
      </c>
      <c r="BN9" s="314">
        <v>221.9</v>
      </c>
      <c r="BO9" s="314">
        <v>214.7</v>
      </c>
      <c r="BP9" s="314">
        <v>209.9</v>
      </c>
      <c r="BQ9" s="314">
        <v>205.8</v>
      </c>
      <c r="BR9" s="314">
        <v>204.9</v>
      </c>
      <c r="BS9" s="314">
        <v>200.3</v>
      </c>
      <c r="BT9" s="314">
        <v>201.2</v>
      </c>
      <c r="BU9" s="314">
        <v>199.7</v>
      </c>
      <c r="BV9" s="314">
        <v>196.4</v>
      </c>
      <c r="BW9" s="314">
        <v>195.2</v>
      </c>
      <c r="BX9" s="314">
        <v>199.9</v>
      </c>
      <c r="BY9" s="314">
        <v>193.4</v>
      </c>
      <c r="BZ9" s="314">
        <v>211</v>
      </c>
      <c r="CA9" s="314">
        <v>213.8</v>
      </c>
      <c r="CB9" s="314">
        <v>214.6</v>
      </c>
      <c r="CC9" s="314">
        <v>260.3</v>
      </c>
      <c r="CD9" s="314">
        <v>243.3</v>
      </c>
      <c r="CE9" s="314">
        <v>241.3</v>
      </c>
      <c r="CF9" s="314">
        <v>250.4</v>
      </c>
      <c r="CG9" s="314">
        <v>248.8</v>
      </c>
      <c r="CH9" s="314">
        <v>240.7</v>
      </c>
      <c r="CI9" s="314">
        <v>229.2</v>
      </c>
      <c r="CJ9" s="314">
        <v>235.2</v>
      </c>
      <c r="CK9" s="314">
        <v>242.9</v>
      </c>
      <c r="CL9" s="314">
        <v>227.6</v>
      </c>
      <c r="CM9" s="314">
        <v>228.5</v>
      </c>
      <c r="CN9" s="314">
        <v>232.7</v>
      </c>
      <c r="CO9" s="314">
        <v>216.3</v>
      </c>
      <c r="CP9" s="314">
        <v>208.5</v>
      </c>
      <c r="CQ9" s="314">
        <v>205.5</v>
      </c>
      <c r="CR9" s="314">
        <v>215.4</v>
      </c>
      <c r="CS9" s="314">
        <v>212.5</v>
      </c>
      <c r="CT9" s="314">
        <v>230.1</v>
      </c>
      <c r="CU9" s="314">
        <v>243.9</v>
      </c>
      <c r="CV9" s="314">
        <v>226.9</v>
      </c>
      <c r="CW9" s="314">
        <v>191</v>
      </c>
      <c r="CX9" s="314">
        <v>192.9</v>
      </c>
      <c r="CY9" s="314">
        <v>229.9</v>
      </c>
      <c r="CZ9" s="314">
        <v>217.5</v>
      </c>
      <c r="DA9" s="314">
        <v>233.2</v>
      </c>
      <c r="DB9" s="314">
        <v>207.9</v>
      </c>
      <c r="DC9" s="314">
        <v>212.3</v>
      </c>
      <c r="DD9" s="314">
        <v>212.4</v>
      </c>
      <c r="DE9" s="314">
        <v>208.1</v>
      </c>
      <c r="DF9" s="314">
        <v>207.6</v>
      </c>
      <c r="DG9" s="314">
        <v>241.6</v>
      </c>
      <c r="DH9" s="314">
        <v>217.6</v>
      </c>
      <c r="DI9" s="314">
        <v>218.3</v>
      </c>
      <c r="DJ9" s="314">
        <v>217.6</v>
      </c>
      <c r="DK9" s="314">
        <v>255.7</v>
      </c>
      <c r="DL9" s="314">
        <v>261.10000000000002</v>
      </c>
      <c r="DM9" s="314">
        <v>265.8</v>
      </c>
      <c r="DN9" s="314">
        <v>263.10000000000002</v>
      </c>
      <c r="DO9" s="314">
        <v>258.60000000000002</v>
      </c>
      <c r="DP9" s="314">
        <v>203</v>
      </c>
      <c r="DQ9" s="314">
        <v>234.3</v>
      </c>
      <c r="DR9" s="314">
        <v>227.6</v>
      </c>
      <c r="DS9" s="314">
        <v>241.5</v>
      </c>
      <c r="DT9" s="314">
        <v>301.2</v>
      </c>
      <c r="DU9" s="314">
        <v>231.4</v>
      </c>
      <c r="DV9" s="314">
        <v>233.9</v>
      </c>
      <c r="DW9" s="314">
        <v>226.3</v>
      </c>
      <c r="DX9" s="314">
        <v>222.2</v>
      </c>
      <c r="DY9" s="314">
        <v>273.7</v>
      </c>
      <c r="DZ9" s="314">
        <v>194.9</v>
      </c>
      <c r="EA9" s="314">
        <v>199.6</v>
      </c>
      <c r="EB9" s="314">
        <v>197.3</v>
      </c>
      <c r="EC9" s="314">
        <v>195</v>
      </c>
      <c r="ED9" s="314">
        <v>197</v>
      </c>
      <c r="EE9" s="314">
        <v>209.3</v>
      </c>
      <c r="EF9" s="314">
        <v>217.2</v>
      </c>
      <c r="EG9" s="314">
        <v>210.4</v>
      </c>
      <c r="EH9" s="314">
        <v>206.4</v>
      </c>
      <c r="EI9" s="314">
        <v>220.9</v>
      </c>
      <c r="EJ9" s="314">
        <v>209.3</v>
      </c>
      <c r="EK9" s="314">
        <v>204.7</v>
      </c>
      <c r="EL9" s="314">
        <v>214.5</v>
      </c>
      <c r="EM9" s="314">
        <v>205.1</v>
      </c>
      <c r="EN9" s="314">
        <v>218.5</v>
      </c>
      <c r="EO9" s="314">
        <v>212.2</v>
      </c>
      <c r="EP9" s="314">
        <v>192.2</v>
      </c>
      <c r="EQ9" s="314">
        <v>192.5</v>
      </c>
      <c r="ER9" s="314">
        <v>192.3</v>
      </c>
      <c r="ES9" s="314">
        <v>227.5</v>
      </c>
      <c r="ET9" s="314">
        <v>229.8</v>
      </c>
      <c r="EU9" s="314">
        <v>232.2</v>
      </c>
      <c r="EV9" s="314">
        <v>215.8</v>
      </c>
      <c r="EW9" s="314">
        <v>220.3</v>
      </c>
      <c r="EX9" s="314">
        <v>262.39999999999998</v>
      </c>
      <c r="EY9" s="314">
        <v>234.1</v>
      </c>
      <c r="EZ9" s="314">
        <v>227.2</v>
      </c>
      <c r="FA9" s="314">
        <v>224.1</v>
      </c>
      <c r="FB9" s="314">
        <v>238.6</v>
      </c>
      <c r="FC9" s="314">
        <v>199</v>
      </c>
      <c r="FD9" s="314">
        <v>197.1</v>
      </c>
      <c r="FE9" s="314">
        <v>202</v>
      </c>
      <c r="FF9" s="314">
        <v>206</v>
      </c>
      <c r="FG9" s="314">
        <v>197.7</v>
      </c>
      <c r="FH9" s="314">
        <v>189.1</v>
      </c>
      <c r="FI9" s="314">
        <v>196.7</v>
      </c>
      <c r="FJ9" s="314">
        <v>200.3</v>
      </c>
      <c r="FK9" s="314">
        <v>189</v>
      </c>
      <c r="FL9" s="314">
        <v>187.5</v>
      </c>
      <c r="FM9" s="314">
        <v>190.1</v>
      </c>
      <c r="FN9" s="314">
        <v>195.6</v>
      </c>
      <c r="FO9" s="314">
        <v>192.8</v>
      </c>
      <c r="FP9" s="314">
        <v>196.4</v>
      </c>
      <c r="FQ9" s="314">
        <v>188.2</v>
      </c>
      <c r="FR9" s="314">
        <v>191.9</v>
      </c>
      <c r="FS9" s="314">
        <v>199</v>
      </c>
      <c r="FT9" s="314">
        <v>192.4</v>
      </c>
      <c r="FU9" s="314">
        <v>189.4</v>
      </c>
      <c r="FV9" s="314">
        <v>192.2</v>
      </c>
      <c r="FW9" s="314">
        <v>187.8</v>
      </c>
      <c r="FX9" s="314">
        <v>187.8</v>
      </c>
      <c r="FY9" s="314">
        <v>201.8</v>
      </c>
      <c r="FZ9" s="314">
        <v>208</v>
      </c>
      <c r="GA9" s="314">
        <v>210.4</v>
      </c>
      <c r="GB9" s="314">
        <v>206.7</v>
      </c>
      <c r="GC9" s="314">
        <v>215.6</v>
      </c>
      <c r="GD9" s="314">
        <v>198.3</v>
      </c>
      <c r="GE9" s="314">
        <v>199.7</v>
      </c>
      <c r="GF9" s="315">
        <f t="shared" si="0"/>
        <v>200.5</v>
      </c>
      <c r="GG9" s="315">
        <f t="shared" si="1"/>
        <v>209.14999999999998</v>
      </c>
      <c r="GH9" s="306">
        <v>202.7</v>
      </c>
      <c r="GI9" s="314">
        <v>205</v>
      </c>
      <c r="GJ9" s="314">
        <v>248.1</v>
      </c>
      <c r="GK9" s="314">
        <v>213.2</v>
      </c>
      <c r="GL9" s="314">
        <v>236</v>
      </c>
      <c r="GM9" s="314">
        <v>217</v>
      </c>
      <c r="GN9" s="314">
        <v>222</v>
      </c>
      <c r="GO9" s="314">
        <v>223.9</v>
      </c>
      <c r="GP9" s="314">
        <v>233.1</v>
      </c>
      <c r="GQ9" s="314">
        <v>229.5</v>
      </c>
      <c r="GR9" s="314">
        <v>237.4</v>
      </c>
      <c r="GS9" s="314">
        <v>232.6</v>
      </c>
      <c r="GT9" s="314">
        <v>203.5</v>
      </c>
      <c r="GU9" s="314">
        <v>215.7</v>
      </c>
      <c r="GV9" s="314">
        <v>252.7</v>
      </c>
      <c r="GW9" s="314">
        <v>249.1</v>
      </c>
      <c r="GX9" s="314">
        <v>248.5</v>
      </c>
      <c r="GY9" s="314">
        <v>245.1</v>
      </c>
      <c r="GZ9" s="314">
        <v>249</v>
      </c>
      <c r="HA9" s="314">
        <v>243.6</v>
      </c>
      <c r="HB9" s="314">
        <v>254.4</v>
      </c>
      <c r="HC9" s="314">
        <v>240.8</v>
      </c>
      <c r="HD9" s="314">
        <v>229.6</v>
      </c>
    </row>
    <row r="10" spans="1:488" s="309" customFormat="1" ht="22.05" customHeight="1" x14ac:dyDescent="0.25">
      <c r="A10" s="305">
        <v>43101</v>
      </c>
      <c r="B10" s="306">
        <v>186.4</v>
      </c>
      <c r="C10" s="306">
        <v>185.6</v>
      </c>
      <c r="D10" s="306">
        <v>183</v>
      </c>
      <c r="E10" s="306">
        <v>185.1</v>
      </c>
      <c r="F10" s="306">
        <v>186.2</v>
      </c>
      <c r="G10" s="306">
        <v>253.6</v>
      </c>
      <c r="H10" s="306">
        <v>192.4</v>
      </c>
      <c r="I10" s="306">
        <v>187.7</v>
      </c>
      <c r="J10" s="306">
        <v>177</v>
      </c>
      <c r="K10" s="306">
        <v>180.1</v>
      </c>
      <c r="L10" s="306">
        <v>242.6</v>
      </c>
      <c r="M10" s="306">
        <v>240</v>
      </c>
      <c r="N10" s="306">
        <v>243.4</v>
      </c>
      <c r="O10" s="306">
        <v>247.5</v>
      </c>
      <c r="P10" s="306">
        <v>240.3</v>
      </c>
      <c r="Q10" s="306">
        <v>242.1</v>
      </c>
      <c r="R10" s="306">
        <v>248.9</v>
      </c>
      <c r="S10" s="306">
        <v>241.2</v>
      </c>
      <c r="T10" s="306">
        <v>281.3</v>
      </c>
      <c r="U10" s="306">
        <v>239.3</v>
      </c>
      <c r="V10" s="306">
        <v>247.3</v>
      </c>
      <c r="W10" s="306">
        <v>254.8</v>
      </c>
      <c r="X10" s="306">
        <v>193.4</v>
      </c>
      <c r="Y10" s="306">
        <v>197.6</v>
      </c>
      <c r="Z10" s="306">
        <v>193</v>
      </c>
      <c r="AA10" s="306">
        <v>232.5</v>
      </c>
      <c r="AB10" s="306">
        <v>232</v>
      </c>
      <c r="AC10" s="306">
        <v>232.9</v>
      </c>
      <c r="AD10" s="306">
        <v>231.6</v>
      </c>
      <c r="AE10" s="306">
        <v>233.8</v>
      </c>
      <c r="AF10" s="306">
        <v>232.2</v>
      </c>
      <c r="AG10" s="306">
        <v>238.7</v>
      </c>
      <c r="AH10" s="306">
        <v>232.6</v>
      </c>
      <c r="AI10" s="306">
        <v>225.6</v>
      </c>
      <c r="AJ10" s="306">
        <v>207.2</v>
      </c>
      <c r="AK10" s="306">
        <v>179.4</v>
      </c>
      <c r="AL10" s="306">
        <v>179.2</v>
      </c>
      <c r="AM10" s="306">
        <v>180.1</v>
      </c>
      <c r="AN10" s="306">
        <v>182.5</v>
      </c>
      <c r="AO10" s="306">
        <v>181</v>
      </c>
      <c r="AP10" s="306">
        <v>182.7</v>
      </c>
      <c r="AQ10" s="306">
        <v>186.6</v>
      </c>
      <c r="AR10" s="306">
        <v>192.3</v>
      </c>
      <c r="AS10" s="306">
        <v>186.9</v>
      </c>
      <c r="AT10" s="306">
        <v>186.7</v>
      </c>
      <c r="AU10" s="306">
        <v>188.1</v>
      </c>
      <c r="AV10" s="306">
        <v>261.89999999999998</v>
      </c>
      <c r="AW10" s="306">
        <v>200.1</v>
      </c>
      <c r="AX10" s="306">
        <v>200.6</v>
      </c>
      <c r="AY10" s="306">
        <v>261.10000000000002</v>
      </c>
      <c r="AZ10" s="306">
        <v>222</v>
      </c>
      <c r="BA10" s="306">
        <v>257.39999999999998</v>
      </c>
      <c r="BB10" s="306">
        <v>227.8</v>
      </c>
      <c r="BC10" s="306">
        <v>243</v>
      </c>
      <c r="BD10" s="306">
        <v>223.6</v>
      </c>
      <c r="BE10" s="306">
        <v>196</v>
      </c>
      <c r="BF10" s="306">
        <v>198.6</v>
      </c>
      <c r="BG10" s="306">
        <v>193.1</v>
      </c>
      <c r="BH10" s="306">
        <v>223</v>
      </c>
      <c r="BI10" s="306">
        <v>199.8</v>
      </c>
      <c r="BJ10" s="306">
        <v>195.2</v>
      </c>
      <c r="BK10" s="306">
        <v>199.8</v>
      </c>
      <c r="BL10" s="306">
        <v>189.6</v>
      </c>
      <c r="BM10" s="306">
        <v>203</v>
      </c>
      <c r="BN10" s="306">
        <v>212.5</v>
      </c>
      <c r="BO10" s="306">
        <v>201.8</v>
      </c>
      <c r="BP10" s="306">
        <v>195.8</v>
      </c>
      <c r="BQ10" s="306">
        <v>195.1</v>
      </c>
      <c r="BR10" s="306">
        <v>195</v>
      </c>
      <c r="BS10" s="306">
        <v>189</v>
      </c>
      <c r="BT10" s="306">
        <v>191.6</v>
      </c>
      <c r="BU10" s="306">
        <v>190.7</v>
      </c>
      <c r="BV10" s="306">
        <v>184.7</v>
      </c>
      <c r="BW10" s="306">
        <v>184</v>
      </c>
      <c r="BX10" s="306">
        <v>186.2</v>
      </c>
      <c r="BY10" s="306">
        <v>183</v>
      </c>
      <c r="BZ10" s="306">
        <v>197.3</v>
      </c>
      <c r="CA10" s="306">
        <v>199.9</v>
      </c>
      <c r="CB10" s="306">
        <v>204.8</v>
      </c>
      <c r="CC10" s="306">
        <v>248.4</v>
      </c>
      <c r="CD10" s="306">
        <v>232.7</v>
      </c>
      <c r="CE10" s="306">
        <v>230.6</v>
      </c>
      <c r="CF10" s="306">
        <v>239.1</v>
      </c>
      <c r="CG10" s="306">
        <v>237.7</v>
      </c>
      <c r="CH10" s="306">
        <v>230.1</v>
      </c>
      <c r="CI10" s="306">
        <v>218.7</v>
      </c>
      <c r="CJ10" s="306">
        <v>221.4</v>
      </c>
      <c r="CK10" s="306">
        <v>232.5</v>
      </c>
      <c r="CL10" s="306">
        <v>215.6</v>
      </c>
      <c r="CM10" s="306">
        <v>216.5</v>
      </c>
      <c r="CN10" s="306">
        <v>219.6</v>
      </c>
      <c r="CO10" s="306">
        <v>204.8</v>
      </c>
      <c r="CP10" s="306">
        <v>197.5</v>
      </c>
      <c r="CQ10" s="306">
        <v>194.8</v>
      </c>
      <c r="CR10" s="306">
        <v>204.4</v>
      </c>
      <c r="CS10" s="306">
        <v>201</v>
      </c>
      <c r="CT10" s="306">
        <v>219.6</v>
      </c>
      <c r="CU10" s="306">
        <v>232.6</v>
      </c>
      <c r="CV10" s="306">
        <v>216.1</v>
      </c>
      <c r="CW10" s="306">
        <v>180.1</v>
      </c>
      <c r="CX10" s="306">
        <v>180.9</v>
      </c>
      <c r="CY10" s="306">
        <v>220.6</v>
      </c>
      <c r="CZ10" s="306">
        <v>208.8</v>
      </c>
      <c r="DA10" s="306">
        <v>222.8</v>
      </c>
      <c r="DB10" s="306">
        <v>199.2</v>
      </c>
      <c r="DC10" s="306">
        <v>196</v>
      </c>
      <c r="DD10" s="306">
        <v>196.5</v>
      </c>
      <c r="DE10" s="306">
        <v>195.7</v>
      </c>
      <c r="DF10" s="306">
        <v>196.3</v>
      </c>
      <c r="DG10" s="306">
        <v>228</v>
      </c>
      <c r="DH10" s="306">
        <v>207</v>
      </c>
      <c r="DI10" s="306">
        <v>207</v>
      </c>
      <c r="DJ10" s="306">
        <v>206.2</v>
      </c>
      <c r="DK10" s="306">
        <v>243.3</v>
      </c>
      <c r="DL10" s="306">
        <v>247</v>
      </c>
      <c r="DM10" s="306">
        <v>251.5</v>
      </c>
      <c r="DN10" s="306">
        <v>249.9</v>
      </c>
      <c r="DO10" s="306">
        <v>245.8</v>
      </c>
      <c r="DP10" s="306">
        <v>192.1</v>
      </c>
      <c r="DQ10" s="306">
        <v>222</v>
      </c>
      <c r="DR10" s="306">
        <v>215.4</v>
      </c>
      <c r="DS10" s="306">
        <v>229.6</v>
      </c>
      <c r="DT10" s="306">
        <v>290.5</v>
      </c>
      <c r="DU10" s="306">
        <v>219.4</v>
      </c>
      <c r="DV10" s="306">
        <v>222</v>
      </c>
      <c r="DW10" s="306">
        <v>215.5</v>
      </c>
      <c r="DX10" s="306">
        <v>211.7</v>
      </c>
      <c r="DY10" s="306">
        <v>263.3</v>
      </c>
      <c r="DZ10" s="306">
        <v>183.8</v>
      </c>
      <c r="EA10" s="306">
        <v>187.5</v>
      </c>
      <c r="EB10" s="306">
        <v>185.5</v>
      </c>
      <c r="EC10" s="306">
        <v>183.3</v>
      </c>
      <c r="ED10" s="306">
        <v>185</v>
      </c>
      <c r="EE10" s="306">
        <v>199.6</v>
      </c>
      <c r="EF10" s="306">
        <v>206.3</v>
      </c>
      <c r="EG10" s="306">
        <v>199.5</v>
      </c>
      <c r="EH10" s="306">
        <v>195.6</v>
      </c>
      <c r="EI10" s="306">
        <v>209.8</v>
      </c>
      <c r="EJ10" s="306">
        <v>199.4</v>
      </c>
      <c r="EK10" s="306">
        <v>191</v>
      </c>
      <c r="EL10" s="306">
        <v>203.2</v>
      </c>
      <c r="EM10" s="306">
        <v>193.1</v>
      </c>
      <c r="EN10" s="306">
        <v>208.5</v>
      </c>
      <c r="EO10" s="306">
        <v>200.7</v>
      </c>
      <c r="EP10" s="306">
        <v>183.9</v>
      </c>
      <c r="EQ10" s="306">
        <v>182.7</v>
      </c>
      <c r="ER10" s="306">
        <v>181.3</v>
      </c>
      <c r="ES10" s="306">
        <v>215</v>
      </c>
      <c r="ET10" s="306">
        <v>217.5</v>
      </c>
      <c r="EU10" s="306">
        <v>221.8</v>
      </c>
      <c r="EV10" s="306">
        <v>205.9</v>
      </c>
      <c r="EW10" s="306">
        <v>209.7</v>
      </c>
      <c r="EX10" s="306">
        <v>248.7</v>
      </c>
      <c r="EY10" s="306">
        <v>220.7</v>
      </c>
      <c r="EZ10" s="306">
        <v>216.8</v>
      </c>
      <c r="FA10" s="306">
        <v>213.6</v>
      </c>
      <c r="FB10" s="306">
        <v>228.3</v>
      </c>
      <c r="FC10" s="306">
        <v>185.5</v>
      </c>
      <c r="FD10" s="306">
        <v>183.9</v>
      </c>
      <c r="FE10" s="306">
        <v>192.8</v>
      </c>
      <c r="FF10" s="306">
        <v>197</v>
      </c>
      <c r="FG10" s="306">
        <v>187.7</v>
      </c>
      <c r="FH10" s="306">
        <v>179.4</v>
      </c>
      <c r="FI10" s="306">
        <v>187.7</v>
      </c>
      <c r="FJ10" s="306">
        <v>187.3</v>
      </c>
      <c r="FK10" s="306">
        <v>178.7</v>
      </c>
      <c r="FL10" s="306">
        <v>178</v>
      </c>
      <c r="FM10" s="306">
        <v>178.9</v>
      </c>
      <c r="FN10" s="306">
        <v>182.7</v>
      </c>
      <c r="FO10" s="306">
        <v>181</v>
      </c>
      <c r="FP10" s="306">
        <v>185</v>
      </c>
      <c r="FQ10" s="306">
        <v>178.5</v>
      </c>
      <c r="FR10" s="306">
        <v>180.4</v>
      </c>
      <c r="FS10" s="306">
        <v>185.1</v>
      </c>
      <c r="FT10" s="306">
        <v>181.2</v>
      </c>
      <c r="FU10" s="306">
        <v>180.1</v>
      </c>
      <c r="FV10" s="306">
        <v>181</v>
      </c>
      <c r="FW10" s="306">
        <v>176.7</v>
      </c>
      <c r="FX10" s="306">
        <v>176.3</v>
      </c>
      <c r="FY10" s="306">
        <v>190.6</v>
      </c>
      <c r="FZ10" s="306">
        <v>195.7</v>
      </c>
      <c r="GA10" s="306">
        <v>200.1</v>
      </c>
      <c r="GB10" s="306">
        <v>196.6</v>
      </c>
      <c r="GC10" s="306">
        <v>202.3</v>
      </c>
      <c r="GD10" s="306">
        <v>186</v>
      </c>
      <c r="GE10" s="306">
        <v>186.7</v>
      </c>
      <c r="GF10" s="315">
        <f t="shared" si="0"/>
        <v>189.9</v>
      </c>
      <c r="GG10" s="315">
        <f t="shared" si="1"/>
        <v>198.05</v>
      </c>
      <c r="GH10" s="306">
        <v>193.8</v>
      </c>
      <c r="GI10" s="306">
        <v>190.8</v>
      </c>
      <c r="GJ10" s="306">
        <v>230.9</v>
      </c>
      <c r="GK10" s="306">
        <v>205.3</v>
      </c>
      <c r="GL10" s="306">
        <v>224.3</v>
      </c>
      <c r="GM10" s="306">
        <v>207.8</v>
      </c>
      <c r="GN10" s="306">
        <v>211.6</v>
      </c>
      <c r="GO10" s="306">
        <v>214.2</v>
      </c>
      <c r="GP10" s="306">
        <v>221.9</v>
      </c>
      <c r="GQ10" s="306">
        <v>216.9</v>
      </c>
      <c r="GR10" s="306">
        <v>224</v>
      </c>
      <c r="GS10" s="306">
        <v>221.7</v>
      </c>
      <c r="GT10" s="306">
        <v>194.1</v>
      </c>
      <c r="GU10" s="306">
        <v>239.6</v>
      </c>
      <c r="GV10" s="306">
        <v>240.6</v>
      </c>
      <c r="GW10" s="306">
        <v>237.3</v>
      </c>
      <c r="GX10" s="306">
        <v>234.5</v>
      </c>
      <c r="GY10" s="306">
        <v>232.9</v>
      </c>
      <c r="GZ10" s="306">
        <v>236.7</v>
      </c>
      <c r="HA10" s="306">
        <v>231.7</v>
      </c>
      <c r="HB10" s="306">
        <v>241.5</v>
      </c>
      <c r="HC10" s="306">
        <v>229.6</v>
      </c>
      <c r="HD10" s="306">
        <v>217.6</v>
      </c>
      <c r="HE10" s="307"/>
      <c r="HF10" s="308"/>
      <c r="HG10" s="308"/>
      <c r="HH10" s="308"/>
      <c r="HI10" s="308"/>
      <c r="HJ10" s="308"/>
      <c r="HK10" s="308"/>
      <c r="HL10" s="308"/>
      <c r="HM10" s="308"/>
      <c r="HN10" s="308"/>
      <c r="HO10" s="308"/>
      <c r="HP10" s="308"/>
      <c r="HQ10" s="308"/>
      <c r="HR10" s="308"/>
      <c r="HS10" s="308"/>
      <c r="HT10" s="308"/>
      <c r="HU10" s="308"/>
      <c r="HV10" s="308"/>
      <c r="HW10" s="308"/>
      <c r="HX10" s="308"/>
      <c r="HY10" s="308"/>
      <c r="HZ10" s="308"/>
      <c r="IA10" s="308"/>
      <c r="IB10" s="308"/>
      <c r="IC10" s="308"/>
      <c r="ID10" s="308"/>
      <c r="IE10" s="308"/>
      <c r="IF10" s="308"/>
      <c r="IG10" s="308"/>
      <c r="IH10" s="308"/>
      <c r="II10" s="308"/>
      <c r="IJ10" s="308"/>
      <c r="IK10" s="308"/>
      <c r="IL10" s="308"/>
      <c r="IM10" s="308"/>
      <c r="IN10" s="308"/>
      <c r="IO10" s="308"/>
      <c r="IP10" s="308"/>
      <c r="IQ10" s="308"/>
      <c r="IR10" s="308"/>
      <c r="IS10" s="308"/>
      <c r="IT10" s="308"/>
      <c r="IU10" s="308"/>
      <c r="IV10" s="308"/>
      <c r="IW10" s="308"/>
      <c r="IX10" s="308"/>
      <c r="IY10" s="308"/>
      <c r="IZ10" s="308"/>
      <c r="JA10" s="308"/>
      <c r="JB10" s="308"/>
      <c r="JC10" s="308"/>
      <c r="JD10" s="308"/>
      <c r="JE10" s="308"/>
      <c r="JF10" s="308"/>
      <c r="JG10" s="308"/>
      <c r="JH10" s="308"/>
      <c r="JI10" s="308"/>
      <c r="JJ10" s="308"/>
      <c r="JK10" s="308"/>
      <c r="JL10" s="308"/>
      <c r="JM10" s="308"/>
      <c r="JN10" s="308"/>
      <c r="JO10" s="308"/>
      <c r="JP10" s="308"/>
      <c r="JQ10" s="308"/>
      <c r="JR10" s="308"/>
      <c r="JS10" s="308"/>
      <c r="JT10" s="308"/>
      <c r="JU10" s="308"/>
      <c r="JV10" s="308"/>
      <c r="JW10" s="308"/>
      <c r="JX10" s="308"/>
      <c r="JY10" s="308"/>
      <c r="JZ10" s="308"/>
      <c r="KA10" s="308"/>
      <c r="KB10" s="308"/>
      <c r="KC10" s="308"/>
      <c r="KD10" s="308"/>
      <c r="KE10" s="308"/>
      <c r="KF10" s="308"/>
      <c r="KG10" s="308"/>
      <c r="KH10" s="308"/>
      <c r="KI10" s="308"/>
      <c r="KJ10" s="308"/>
      <c r="KK10" s="308"/>
      <c r="KL10" s="308"/>
      <c r="KM10" s="308"/>
      <c r="KN10" s="308"/>
      <c r="KO10" s="308"/>
      <c r="KP10" s="308"/>
      <c r="KQ10" s="308"/>
      <c r="KR10" s="308"/>
      <c r="KS10" s="308"/>
      <c r="KT10" s="308"/>
      <c r="KU10" s="308"/>
      <c r="KV10" s="308"/>
      <c r="KW10" s="308"/>
      <c r="KX10" s="308"/>
      <c r="KY10" s="308"/>
      <c r="KZ10" s="308"/>
      <c r="LA10" s="308"/>
      <c r="LB10" s="308"/>
      <c r="LC10" s="308"/>
      <c r="LD10" s="308"/>
      <c r="LE10" s="308"/>
      <c r="LF10" s="308"/>
      <c r="LG10" s="308"/>
      <c r="LH10" s="308"/>
      <c r="LI10" s="308"/>
      <c r="LJ10" s="308"/>
      <c r="LK10" s="308"/>
      <c r="LL10" s="308"/>
      <c r="LM10" s="308"/>
      <c r="LN10" s="308"/>
      <c r="LO10" s="308"/>
      <c r="LP10" s="308"/>
      <c r="LQ10" s="308"/>
      <c r="LR10" s="308"/>
      <c r="LS10" s="308"/>
      <c r="LT10" s="308"/>
      <c r="LU10" s="308"/>
      <c r="LV10" s="308"/>
      <c r="LW10" s="308"/>
      <c r="LX10" s="308"/>
      <c r="LY10" s="308"/>
      <c r="LZ10" s="308"/>
      <c r="MA10" s="308"/>
      <c r="MB10" s="308"/>
      <c r="MC10" s="308"/>
      <c r="MD10" s="308"/>
      <c r="ME10" s="308"/>
      <c r="MF10" s="308"/>
      <c r="MG10" s="308"/>
      <c r="MH10" s="308"/>
      <c r="MI10" s="308"/>
      <c r="MJ10" s="308"/>
      <c r="MK10" s="308"/>
      <c r="ML10" s="308"/>
      <c r="MM10" s="308"/>
      <c r="MN10" s="308"/>
      <c r="MO10" s="308"/>
      <c r="MP10" s="308"/>
      <c r="MQ10" s="308"/>
      <c r="MR10" s="308"/>
      <c r="MS10" s="308"/>
      <c r="MT10" s="308"/>
      <c r="MU10" s="308"/>
      <c r="MV10" s="308"/>
      <c r="MW10" s="308"/>
      <c r="MX10" s="308"/>
      <c r="MY10" s="308"/>
      <c r="MZ10" s="308"/>
      <c r="NA10" s="308"/>
      <c r="NB10" s="308"/>
      <c r="NC10" s="308"/>
      <c r="ND10" s="308"/>
      <c r="NE10" s="308"/>
      <c r="NF10" s="308"/>
      <c r="NG10" s="308"/>
      <c r="NH10" s="308"/>
      <c r="NI10" s="308"/>
      <c r="NJ10" s="308"/>
      <c r="NK10" s="308"/>
      <c r="NL10" s="308"/>
      <c r="NM10" s="308"/>
      <c r="NN10" s="308"/>
      <c r="NO10" s="308"/>
      <c r="NP10" s="308"/>
      <c r="NQ10" s="308"/>
      <c r="NR10" s="308"/>
      <c r="NS10" s="308"/>
      <c r="NT10" s="308"/>
      <c r="NU10" s="308"/>
      <c r="NV10" s="308"/>
      <c r="NW10" s="308"/>
      <c r="NX10" s="308"/>
      <c r="NY10" s="308"/>
      <c r="NZ10" s="308"/>
      <c r="OA10" s="308"/>
      <c r="OB10" s="308"/>
      <c r="OC10" s="308"/>
      <c r="OD10" s="308"/>
      <c r="OE10" s="308"/>
      <c r="OF10" s="308"/>
      <c r="OG10" s="308"/>
      <c r="OH10" s="308"/>
      <c r="OI10" s="308"/>
      <c r="OJ10" s="308"/>
      <c r="OK10" s="308"/>
      <c r="OL10" s="308"/>
      <c r="OM10" s="308"/>
      <c r="ON10" s="308"/>
      <c r="OO10" s="308"/>
      <c r="OP10" s="308"/>
      <c r="OQ10" s="308"/>
      <c r="OR10" s="308"/>
      <c r="OS10" s="308"/>
      <c r="OT10" s="308"/>
      <c r="OU10" s="308"/>
      <c r="OV10" s="308"/>
      <c r="OW10" s="308"/>
      <c r="OX10" s="308"/>
      <c r="OY10" s="308"/>
      <c r="OZ10" s="308"/>
      <c r="PA10" s="308"/>
      <c r="PB10" s="308"/>
      <c r="PC10" s="308"/>
      <c r="PD10" s="308"/>
      <c r="PE10" s="308"/>
      <c r="PF10" s="308"/>
      <c r="PG10" s="308"/>
      <c r="PH10" s="308"/>
      <c r="PI10" s="308"/>
      <c r="PJ10" s="308"/>
      <c r="PK10" s="308"/>
      <c r="PL10" s="308"/>
      <c r="PM10" s="308"/>
      <c r="PN10" s="308"/>
      <c r="PO10" s="308"/>
      <c r="PP10" s="308"/>
      <c r="PQ10" s="308"/>
      <c r="PR10" s="308"/>
      <c r="PS10" s="308"/>
      <c r="PT10" s="308"/>
      <c r="PU10" s="308"/>
      <c r="PV10" s="308"/>
      <c r="PW10" s="308"/>
      <c r="PX10" s="308"/>
      <c r="PY10" s="308"/>
      <c r="PZ10" s="308"/>
      <c r="QA10" s="308"/>
      <c r="QB10" s="308"/>
      <c r="QC10" s="308"/>
      <c r="QD10" s="308"/>
      <c r="QE10" s="308"/>
      <c r="QF10" s="308"/>
      <c r="QG10" s="308"/>
      <c r="QH10" s="308"/>
      <c r="QI10" s="308"/>
      <c r="QJ10" s="308"/>
      <c r="QK10" s="308"/>
      <c r="QL10" s="308"/>
      <c r="QM10" s="308"/>
      <c r="QN10" s="308"/>
      <c r="QO10" s="308"/>
      <c r="QP10" s="308"/>
      <c r="QQ10" s="308"/>
      <c r="QR10" s="308"/>
      <c r="QS10" s="308"/>
      <c r="QT10" s="308"/>
      <c r="QU10" s="308"/>
      <c r="QV10" s="308"/>
      <c r="QW10" s="308"/>
      <c r="QX10" s="308"/>
      <c r="QY10" s="308"/>
      <c r="QZ10" s="308"/>
      <c r="RA10" s="308"/>
      <c r="RB10" s="308"/>
      <c r="RC10" s="308"/>
      <c r="RD10" s="308"/>
      <c r="RE10" s="308"/>
      <c r="RF10" s="308"/>
      <c r="RG10" s="308"/>
      <c r="RH10" s="308"/>
      <c r="RI10" s="308"/>
      <c r="RJ10" s="308"/>
      <c r="RK10" s="308"/>
      <c r="RL10" s="308"/>
      <c r="RM10" s="308"/>
      <c r="RN10" s="308"/>
      <c r="RO10" s="308"/>
      <c r="RP10" s="308"/>
      <c r="RQ10" s="308"/>
      <c r="RR10" s="308"/>
      <c r="RS10" s="308"/>
      <c r="RT10" s="308"/>
    </row>
    <row r="11" spans="1:488" s="312" customFormat="1" ht="22.05" customHeight="1" x14ac:dyDescent="0.25">
      <c r="A11" s="372">
        <v>42736</v>
      </c>
      <c r="B11" s="314">
        <v>178.6</v>
      </c>
      <c r="C11" s="314">
        <v>178.3</v>
      </c>
      <c r="D11" s="314">
        <v>177.9</v>
      </c>
      <c r="E11" s="314">
        <v>178.5</v>
      </c>
      <c r="F11" s="314">
        <v>179.6</v>
      </c>
      <c r="G11" s="314">
        <v>246.2</v>
      </c>
      <c r="H11" s="314">
        <v>183.8</v>
      </c>
      <c r="I11" s="314">
        <v>181.3</v>
      </c>
      <c r="J11" s="314">
        <v>170.6</v>
      </c>
      <c r="K11" s="314">
        <v>172.8</v>
      </c>
      <c r="L11" s="314">
        <v>233.6</v>
      </c>
      <c r="M11" s="314">
        <v>229.6</v>
      </c>
      <c r="N11" s="314">
        <v>232</v>
      </c>
      <c r="O11" s="314">
        <v>237.8</v>
      </c>
      <c r="P11" s="314">
        <v>231.9</v>
      </c>
      <c r="Q11" s="314">
        <v>233.2</v>
      </c>
      <c r="R11" s="314">
        <v>237.9</v>
      </c>
      <c r="S11" s="314">
        <v>229.3</v>
      </c>
      <c r="T11" s="314">
        <v>270.8</v>
      </c>
      <c r="U11" s="314">
        <v>231.1</v>
      </c>
      <c r="V11" s="314">
        <v>236.2</v>
      </c>
      <c r="W11" s="314">
        <v>246.8</v>
      </c>
      <c r="X11" s="314">
        <v>187.3</v>
      </c>
      <c r="Y11" s="314">
        <v>187.8</v>
      </c>
      <c r="Z11" s="314">
        <v>183.1</v>
      </c>
      <c r="AA11" s="314">
        <v>224.4</v>
      </c>
      <c r="AB11" s="314">
        <v>222.9</v>
      </c>
      <c r="AC11" s="314">
        <v>223.9</v>
      </c>
      <c r="AD11" s="314">
        <v>222.5</v>
      </c>
      <c r="AE11" s="314">
        <v>225</v>
      </c>
      <c r="AF11" s="314">
        <v>224.2</v>
      </c>
      <c r="AG11" s="314">
        <v>230.8</v>
      </c>
      <c r="AH11" s="314">
        <v>224.2</v>
      </c>
      <c r="AI11" s="314">
        <v>217.7</v>
      </c>
      <c r="AJ11" s="314">
        <v>199.1</v>
      </c>
      <c r="AK11" s="314">
        <v>173.7</v>
      </c>
      <c r="AL11" s="314">
        <v>172.7</v>
      </c>
      <c r="AM11" s="314">
        <v>173.4</v>
      </c>
      <c r="AN11" s="314">
        <v>176.5</v>
      </c>
      <c r="AO11" s="314">
        <v>174.1</v>
      </c>
      <c r="AP11" s="314">
        <v>177</v>
      </c>
      <c r="AQ11" s="314">
        <v>179.4</v>
      </c>
      <c r="AR11" s="314">
        <v>185.1</v>
      </c>
      <c r="AS11" s="314">
        <v>180.1</v>
      </c>
      <c r="AT11" s="314">
        <v>179.4</v>
      </c>
      <c r="AU11" s="314">
        <v>180.5</v>
      </c>
      <c r="AV11" s="314">
        <v>249.7</v>
      </c>
      <c r="AW11" s="314">
        <v>192.5</v>
      </c>
      <c r="AX11" s="314">
        <v>193.4</v>
      </c>
      <c r="AY11" s="314">
        <v>251.7</v>
      </c>
      <c r="AZ11" s="314">
        <v>215.3</v>
      </c>
      <c r="BA11" s="314">
        <v>247.9</v>
      </c>
      <c r="BB11" s="314">
        <v>220.4</v>
      </c>
      <c r="BC11" s="314">
        <v>233.1</v>
      </c>
      <c r="BD11" s="314">
        <v>216</v>
      </c>
      <c r="BE11" s="314">
        <v>189.8</v>
      </c>
      <c r="BF11" s="314">
        <v>192.3</v>
      </c>
      <c r="BG11" s="314">
        <v>185.2</v>
      </c>
      <c r="BH11" s="314">
        <v>216.8</v>
      </c>
      <c r="BI11" s="314">
        <v>191.8</v>
      </c>
      <c r="BJ11" s="314">
        <v>189.5</v>
      </c>
      <c r="BK11" s="314">
        <v>192.4</v>
      </c>
      <c r="BL11" s="314">
        <v>193.1</v>
      </c>
      <c r="BM11" s="314">
        <v>194.8</v>
      </c>
      <c r="BN11" s="314">
        <v>205.7</v>
      </c>
      <c r="BO11" s="314">
        <v>195</v>
      </c>
      <c r="BP11" s="314">
        <v>188.2</v>
      </c>
      <c r="BQ11" s="314">
        <v>188.5</v>
      </c>
      <c r="BR11" s="314">
        <v>188.1</v>
      </c>
      <c r="BS11" s="314">
        <v>183</v>
      </c>
      <c r="BT11" s="314">
        <v>186.2</v>
      </c>
      <c r="BU11" s="314">
        <v>185</v>
      </c>
      <c r="BV11" s="314">
        <v>179.2</v>
      </c>
      <c r="BW11" s="314">
        <v>178.2</v>
      </c>
      <c r="BX11" s="314">
        <v>179.3</v>
      </c>
      <c r="BY11" s="314">
        <v>177.9</v>
      </c>
      <c r="BZ11" s="314">
        <v>192</v>
      </c>
      <c r="CA11" s="314">
        <v>194.7</v>
      </c>
      <c r="CB11" s="314">
        <v>197.7</v>
      </c>
      <c r="CC11" s="314">
        <v>240</v>
      </c>
      <c r="CD11" s="314">
        <v>226.4</v>
      </c>
      <c r="CE11" s="314">
        <v>225</v>
      </c>
      <c r="CF11" s="314">
        <v>233.9</v>
      </c>
      <c r="CG11" s="314">
        <v>231.3</v>
      </c>
      <c r="CH11" s="314">
        <v>224.4</v>
      </c>
      <c r="CI11" s="314">
        <v>211.7</v>
      </c>
      <c r="CJ11" s="314">
        <v>213.5</v>
      </c>
      <c r="CK11" s="314">
        <v>226.1</v>
      </c>
      <c r="CL11" s="314">
        <v>208.7</v>
      </c>
      <c r="CM11" s="314">
        <v>211.1</v>
      </c>
      <c r="CN11" s="314">
        <v>212.1</v>
      </c>
      <c r="CO11" s="314">
        <v>199.2</v>
      </c>
      <c r="CP11" s="314">
        <v>190.9</v>
      </c>
      <c r="CQ11" s="314">
        <v>189.6</v>
      </c>
      <c r="CR11" s="314">
        <v>198.1</v>
      </c>
      <c r="CS11" s="314">
        <v>195.3</v>
      </c>
      <c r="CT11" s="314">
        <v>212.1</v>
      </c>
      <c r="CU11" s="314">
        <v>221.2</v>
      </c>
      <c r="CV11" s="314">
        <v>207.6</v>
      </c>
      <c r="CW11" s="314">
        <v>175.3</v>
      </c>
      <c r="CX11" s="314">
        <v>175.6</v>
      </c>
      <c r="CY11" s="314">
        <v>212.9</v>
      </c>
      <c r="CZ11" s="314">
        <v>202.8</v>
      </c>
      <c r="DA11" s="314">
        <v>213.1</v>
      </c>
      <c r="DB11" s="314">
        <v>192.9</v>
      </c>
      <c r="DC11" s="314">
        <v>190.4</v>
      </c>
      <c r="DD11" s="314">
        <v>191</v>
      </c>
      <c r="DE11" s="314">
        <v>189.6</v>
      </c>
      <c r="DF11" s="314">
        <v>190.1</v>
      </c>
      <c r="DG11" s="314">
        <v>220.1</v>
      </c>
      <c r="DH11" s="314">
        <v>199.8</v>
      </c>
      <c r="DI11" s="314">
        <v>200.7</v>
      </c>
      <c r="DJ11" s="314">
        <v>200</v>
      </c>
      <c r="DK11" s="314">
        <v>236.3</v>
      </c>
      <c r="DL11" s="314">
        <v>238.7</v>
      </c>
      <c r="DM11" s="314">
        <v>242.7</v>
      </c>
      <c r="DN11" s="314">
        <v>240.8</v>
      </c>
      <c r="DO11" s="314">
        <v>239.2</v>
      </c>
      <c r="DP11" s="314">
        <v>185.9</v>
      </c>
      <c r="DQ11" s="314">
        <v>213.5</v>
      </c>
      <c r="DR11" s="314">
        <v>208.4</v>
      </c>
      <c r="DS11" s="314">
        <v>220.8</v>
      </c>
      <c r="DT11" s="314">
        <v>282.89999999999998</v>
      </c>
      <c r="DU11" s="314">
        <v>213</v>
      </c>
      <c r="DV11" s="314">
        <v>213.8</v>
      </c>
      <c r="DW11" s="314">
        <v>208.9</v>
      </c>
      <c r="DX11" s="314">
        <v>205.9</v>
      </c>
      <c r="DY11" s="314">
        <v>256.8</v>
      </c>
      <c r="DZ11" s="314">
        <v>177</v>
      </c>
      <c r="EA11" s="314">
        <v>180.3</v>
      </c>
      <c r="EB11" s="314">
        <v>178.2</v>
      </c>
      <c r="EC11" s="314">
        <v>175.8</v>
      </c>
      <c r="ED11" s="314">
        <v>178</v>
      </c>
      <c r="EE11" s="314">
        <v>182.8</v>
      </c>
      <c r="EF11" s="314">
        <v>199.4</v>
      </c>
      <c r="EG11" s="314">
        <v>192.2</v>
      </c>
      <c r="EH11" s="314">
        <v>186.1</v>
      </c>
      <c r="EI11" s="314">
        <v>202.6</v>
      </c>
      <c r="EJ11" s="314">
        <v>191.6</v>
      </c>
      <c r="EK11" s="314">
        <v>186.1</v>
      </c>
      <c r="EL11" s="314">
        <v>196.9</v>
      </c>
      <c r="EM11" s="314">
        <v>187.8</v>
      </c>
      <c r="EN11" s="314">
        <v>201.4</v>
      </c>
      <c r="EO11" s="314">
        <v>194.2</v>
      </c>
      <c r="EP11" s="314">
        <v>178</v>
      </c>
      <c r="EQ11" s="314">
        <v>177</v>
      </c>
      <c r="ER11" s="314">
        <v>174.8</v>
      </c>
      <c r="ES11" s="314">
        <v>207.3</v>
      </c>
      <c r="ET11" s="314">
        <v>209.5</v>
      </c>
      <c r="EU11" s="314">
        <v>213.7</v>
      </c>
      <c r="EV11" s="314">
        <v>199.5</v>
      </c>
      <c r="EW11" s="314">
        <v>202.4</v>
      </c>
      <c r="EX11" s="314">
        <v>239.8</v>
      </c>
      <c r="EY11" s="314">
        <v>213.6</v>
      </c>
      <c r="EZ11" s="314">
        <v>210.7</v>
      </c>
      <c r="FA11" s="314">
        <v>207.4</v>
      </c>
      <c r="FB11" s="314">
        <v>218.6</v>
      </c>
      <c r="FC11" s="314">
        <v>178.4</v>
      </c>
      <c r="FD11" s="314">
        <v>176.5</v>
      </c>
      <c r="FE11" s="314">
        <v>185.3</v>
      </c>
      <c r="FF11" s="314">
        <v>184.8</v>
      </c>
      <c r="FG11" s="314">
        <v>181.9</v>
      </c>
      <c r="FH11" s="314">
        <v>173.3</v>
      </c>
      <c r="FI11" s="314">
        <v>180.9</v>
      </c>
      <c r="FJ11" s="314">
        <v>180.5</v>
      </c>
      <c r="FK11" s="314">
        <v>174</v>
      </c>
      <c r="FL11" s="314">
        <v>172.8</v>
      </c>
      <c r="FM11" s="314">
        <v>172.6</v>
      </c>
      <c r="FN11" s="314">
        <v>178</v>
      </c>
      <c r="FO11" s="314">
        <v>178.9</v>
      </c>
      <c r="FP11" s="314">
        <v>180</v>
      </c>
      <c r="FQ11" s="314">
        <v>173.5</v>
      </c>
      <c r="FR11" s="314">
        <v>174.9</v>
      </c>
      <c r="FS11" s="314">
        <v>179.2</v>
      </c>
      <c r="FT11" s="314">
        <v>176.6</v>
      </c>
      <c r="FU11" s="314">
        <v>175.6</v>
      </c>
      <c r="FV11" s="314">
        <v>175.5</v>
      </c>
      <c r="FW11" s="314">
        <v>170.7</v>
      </c>
      <c r="FX11" s="314">
        <v>170.4</v>
      </c>
      <c r="FY11" s="314">
        <v>183.3</v>
      </c>
      <c r="FZ11" s="314">
        <v>188.8</v>
      </c>
      <c r="GA11" s="314">
        <v>192.8</v>
      </c>
      <c r="GB11" s="314">
        <v>189.5</v>
      </c>
      <c r="GC11" s="314">
        <v>195.6</v>
      </c>
      <c r="GD11" s="314">
        <v>180.7</v>
      </c>
      <c r="GE11" s="314">
        <v>180.5</v>
      </c>
      <c r="GF11" s="373">
        <f t="shared" si="0"/>
        <v>181.75</v>
      </c>
      <c r="GG11" s="373">
        <f t="shared" si="1"/>
        <v>189.2</v>
      </c>
      <c r="GH11" s="369">
        <v>182.8</v>
      </c>
      <c r="GI11" s="314">
        <v>185.1</v>
      </c>
      <c r="GJ11" s="314">
        <v>219.3</v>
      </c>
      <c r="GK11" s="314">
        <v>198.8</v>
      </c>
      <c r="GL11" s="314">
        <v>215.8</v>
      </c>
      <c r="GM11" s="314">
        <v>201.5</v>
      </c>
      <c r="GN11" s="314">
        <v>204.5</v>
      </c>
      <c r="GO11" s="314">
        <v>206.9</v>
      </c>
      <c r="GP11" s="314">
        <v>213.6</v>
      </c>
      <c r="GQ11" s="314">
        <v>207.4</v>
      </c>
      <c r="GR11" s="314">
        <v>215.2</v>
      </c>
      <c r="GS11" s="314">
        <v>213.8</v>
      </c>
      <c r="GT11" s="314">
        <v>185</v>
      </c>
      <c r="GU11" s="314">
        <v>231.4</v>
      </c>
      <c r="GV11" s="314">
        <v>232.3</v>
      </c>
      <c r="GW11" s="314">
        <v>227.8</v>
      </c>
      <c r="GX11" s="314">
        <v>225</v>
      </c>
      <c r="GY11" s="314">
        <v>221.8</v>
      </c>
      <c r="GZ11" s="314">
        <v>227.7</v>
      </c>
      <c r="HA11" s="314">
        <v>222.9</v>
      </c>
      <c r="HB11" s="314">
        <v>231.4</v>
      </c>
      <c r="HC11" s="314">
        <v>221.5</v>
      </c>
      <c r="HD11" s="314">
        <v>207.7</v>
      </c>
      <c r="HE11" s="310"/>
      <c r="HF11" s="311"/>
      <c r="HG11" s="311"/>
      <c r="HH11" s="311"/>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1"/>
      <c r="KC11" s="311"/>
      <c r="KD11" s="311"/>
      <c r="KE11" s="311"/>
      <c r="KF11" s="311"/>
      <c r="KG11" s="311"/>
      <c r="KH11" s="311"/>
      <c r="KI11" s="311"/>
      <c r="KJ11" s="311"/>
      <c r="KK11" s="311"/>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c r="LJ11" s="311"/>
      <c r="LK11" s="311"/>
      <c r="LL11" s="311"/>
      <c r="LM11" s="311"/>
      <c r="LN11" s="311"/>
      <c r="LO11" s="311"/>
      <c r="LP11" s="311"/>
      <c r="LQ11" s="311"/>
      <c r="LR11" s="311"/>
      <c r="LS11" s="311"/>
      <c r="LT11" s="311"/>
      <c r="LU11" s="311"/>
      <c r="LV11" s="311"/>
      <c r="LW11" s="311"/>
      <c r="LX11" s="311"/>
      <c r="LY11" s="311"/>
      <c r="LZ11" s="311"/>
      <c r="MA11" s="311"/>
      <c r="MB11" s="311"/>
      <c r="MC11" s="311"/>
      <c r="MD11" s="311"/>
      <c r="ME11" s="311"/>
      <c r="MF11" s="311"/>
      <c r="MG11" s="311"/>
      <c r="MH11" s="311"/>
      <c r="MI11" s="311"/>
      <c r="MJ11" s="311"/>
      <c r="MK11" s="311"/>
      <c r="ML11" s="311"/>
      <c r="MM11" s="311"/>
      <c r="MN11" s="311"/>
      <c r="MO11" s="311"/>
      <c r="MP11" s="311"/>
      <c r="MQ11" s="311"/>
      <c r="MR11" s="311"/>
      <c r="MS11" s="311"/>
      <c r="MT11" s="311"/>
      <c r="MU11" s="311"/>
      <c r="MV11" s="311"/>
      <c r="MW11" s="311"/>
      <c r="MX11" s="311"/>
      <c r="MY11" s="311"/>
      <c r="MZ11" s="311"/>
      <c r="NA11" s="311"/>
      <c r="NB11" s="311"/>
      <c r="NC11" s="311"/>
      <c r="ND11" s="311"/>
      <c r="NE11" s="311"/>
      <c r="NF11" s="311"/>
      <c r="NG11" s="311"/>
      <c r="NH11" s="311"/>
      <c r="NI11" s="311"/>
      <c r="NJ11" s="311"/>
      <c r="NK11" s="311"/>
      <c r="NL11" s="311"/>
      <c r="NM11" s="311"/>
      <c r="NN11" s="311"/>
      <c r="NO11" s="311"/>
      <c r="NP11" s="311"/>
      <c r="NQ11" s="311"/>
      <c r="NR11" s="311"/>
      <c r="NS11" s="311"/>
      <c r="NT11" s="311"/>
      <c r="NU11" s="311"/>
      <c r="NV11" s="311"/>
      <c r="NW11" s="311"/>
      <c r="NX11" s="311"/>
      <c r="NY11" s="311"/>
      <c r="NZ11" s="311"/>
      <c r="OA11" s="311"/>
      <c r="OB11" s="311"/>
      <c r="OC11" s="311"/>
      <c r="OD11" s="311"/>
      <c r="OE11" s="311"/>
      <c r="OF11" s="311"/>
      <c r="OG11" s="311"/>
      <c r="OH11" s="311"/>
      <c r="OI11" s="311"/>
      <c r="OJ11" s="311"/>
      <c r="OK11" s="311"/>
      <c r="OL11" s="311"/>
      <c r="OM11" s="311"/>
      <c r="ON11" s="311"/>
      <c r="OO11" s="311"/>
      <c r="OP11" s="311"/>
      <c r="OQ11" s="311"/>
      <c r="OR11" s="311"/>
      <c r="OS11" s="311"/>
      <c r="OT11" s="311"/>
      <c r="OU11" s="311"/>
      <c r="OV11" s="311"/>
      <c r="OW11" s="311"/>
      <c r="OX11" s="311"/>
      <c r="OY11" s="311"/>
      <c r="OZ11" s="311"/>
      <c r="PA11" s="311"/>
      <c r="PB11" s="311"/>
      <c r="PC11" s="311"/>
      <c r="PD11" s="311"/>
      <c r="PE11" s="311"/>
      <c r="PF11" s="311"/>
      <c r="PG11" s="311"/>
      <c r="PH11" s="311"/>
      <c r="PI11" s="311"/>
      <c r="PJ11" s="311"/>
      <c r="PK11" s="311"/>
      <c r="PL11" s="311"/>
      <c r="PM11" s="311"/>
      <c r="PN11" s="311"/>
      <c r="PO11" s="311"/>
      <c r="PP11" s="311"/>
      <c r="PQ11" s="311"/>
      <c r="PR11" s="311"/>
      <c r="PS11" s="311"/>
      <c r="PT11" s="311"/>
      <c r="PU11" s="311"/>
      <c r="PV11" s="311"/>
      <c r="PW11" s="311"/>
      <c r="PX11" s="311"/>
      <c r="PY11" s="311"/>
      <c r="PZ11" s="311"/>
      <c r="QA11" s="311"/>
      <c r="QB11" s="311"/>
      <c r="QC11" s="311"/>
      <c r="QD11" s="311"/>
      <c r="QE11" s="311"/>
      <c r="QF11" s="311"/>
      <c r="QG11" s="311"/>
      <c r="QH11" s="311"/>
      <c r="QI11" s="311"/>
      <c r="QJ11" s="311"/>
      <c r="QK11" s="311"/>
      <c r="QL11" s="311"/>
      <c r="QM11" s="311"/>
      <c r="QN11" s="311"/>
      <c r="QO11" s="311"/>
      <c r="QP11" s="311"/>
      <c r="QQ11" s="311"/>
      <c r="QR11" s="311"/>
      <c r="QS11" s="311"/>
      <c r="QT11" s="311"/>
      <c r="QU11" s="311"/>
      <c r="QV11" s="311"/>
      <c r="QW11" s="311"/>
      <c r="QX11" s="311"/>
      <c r="QY11" s="311"/>
      <c r="QZ11" s="311"/>
      <c r="RA11" s="311"/>
      <c r="RB11" s="311"/>
      <c r="RC11" s="311"/>
      <c r="RD11" s="311"/>
      <c r="RE11" s="311"/>
      <c r="RF11" s="311"/>
      <c r="RG11" s="311"/>
      <c r="RH11" s="311"/>
      <c r="RI11" s="311"/>
      <c r="RJ11" s="311"/>
      <c r="RK11" s="311"/>
      <c r="RL11" s="311"/>
      <c r="RM11" s="311"/>
      <c r="RN11" s="311"/>
      <c r="RO11" s="311"/>
      <c r="RP11" s="311"/>
      <c r="RQ11" s="311"/>
      <c r="RR11" s="311"/>
      <c r="RS11" s="311"/>
      <c r="RT11" s="311"/>
    </row>
    <row r="12" spans="1:488" s="309" customFormat="1" ht="22.05" customHeight="1" x14ac:dyDescent="0.25">
      <c r="A12" s="374">
        <v>42370</v>
      </c>
      <c r="B12" s="368">
        <v>185.6</v>
      </c>
      <c r="C12" s="368">
        <v>184.2</v>
      </c>
      <c r="D12" s="368">
        <v>184.1</v>
      </c>
      <c r="E12" s="368">
        <v>183.5</v>
      </c>
      <c r="F12" s="368">
        <v>186.3</v>
      </c>
      <c r="G12" s="368">
        <v>246.3</v>
      </c>
      <c r="H12" s="368">
        <v>181.7</v>
      </c>
      <c r="I12" s="368">
        <v>178.1</v>
      </c>
      <c r="J12" s="368">
        <v>169.8</v>
      </c>
      <c r="K12" s="368">
        <v>174.6</v>
      </c>
      <c r="L12" s="368">
        <v>223.6</v>
      </c>
      <c r="M12" s="368">
        <v>221.3</v>
      </c>
      <c r="N12" s="368">
        <v>224.3</v>
      </c>
      <c r="O12" s="368">
        <v>226.2</v>
      </c>
      <c r="P12" s="368">
        <v>222.5</v>
      </c>
      <c r="Q12" s="368">
        <v>223.3</v>
      </c>
      <c r="R12" s="368">
        <v>227.3</v>
      </c>
      <c r="S12" s="368">
        <v>218.3</v>
      </c>
      <c r="T12" s="368">
        <v>256.60000000000002</v>
      </c>
      <c r="U12" s="368">
        <v>221.9</v>
      </c>
      <c r="V12" s="368">
        <v>227.9</v>
      </c>
      <c r="W12" s="368">
        <v>236</v>
      </c>
      <c r="X12" s="368">
        <v>189.4</v>
      </c>
      <c r="Y12" s="368">
        <v>191</v>
      </c>
      <c r="Z12" s="368">
        <v>186.2</v>
      </c>
      <c r="AA12" s="368">
        <v>226.4</v>
      </c>
      <c r="AB12" s="368">
        <v>225.6</v>
      </c>
      <c r="AC12" s="368">
        <v>226.1</v>
      </c>
      <c r="AD12" s="368">
        <v>225</v>
      </c>
      <c r="AE12" s="368">
        <v>226.9</v>
      </c>
      <c r="AF12" s="368">
        <v>232.7</v>
      </c>
      <c r="AG12" s="368">
        <v>233.3</v>
      </c>
      <c r="AH12" s="368">
        <v>225.7</v>
      </c>
      <c r="AI12" s="368">
        <v>215.7</v>
      </c>
      <c r="AJ12" s="368">
        <v>201.3</v>
      </c>
      <c r="AK12" s="368">
        <v>177.7</v>
      </c>
      <c r="AL12" s="368">
        <v>176.3</v>
      </c>
      <c r="AM12" s="368">
        <v>179.1</v>
      </c>
      <c r="AN12" s="368">
        <v>180.4</v>
      </c>
      <c r="AO12" s="368">
        <v>173.4</v>
      </c>
      <c r="AP12" s="368">
        <v>180.6</v>
      </c>
      <c r="AQ12" s="368">
        <v>176.3</v>
      </c>
      <c r="AR12" s="368">
        <v>185</v>
      </c>
      <c r="AS12" s="368">
        <v>173.6</v>
      </c>
      <c r="AT12" s="368">
        <v>172.4</v>
      </c>
      <c r="AU12" s="368">
        <v>175.1</v>
      </c>
      <c r="AV12" s="368">
        <v>251.7</v>
      </c>
      <c r="AW12" s="368">
        <v>191.1</v>
      </c>
      <c r="AX12" s="368">
        <v>190.2</v>
      </c>
      <c r="AY12" s="368">
        <v>244.9</v>
      </c>
      <c r="AZ12" s="368">
        <v>212.9</v>
      </c>
      <c r="BA12" s="368">
        <v>244.3</v>
      </c>
      <c r="BB12" s="368">
        <v>217.5</v>
      </c>
      <c r="BC12" s="368">
        <v>229.6</v>
      </c>
      <c r="BD12" s="368">
        <v>215.1</v>
      </c>
      <c r="BE12" s="368">
        <v>190.5</v>
      </c>
      <c r="BF12" s="368">
        <v>192.3</v>
      </c>
      <c r="BG12" s="368">
        <v>184.4</v>
      </c>
      <c r="BH12" s="368">
        <v>216.8</v>
      </c>
      <c r="BI12" s="368">
        <v>192.5</v>
      </c>
      <c r="BJ12" s="368">
        <v>191</v>
      </c>
      <c r="BK12" s="368">
        <v>190.7</v>
      </c>
      <c r="BL12" s="368">
        <v>192.8</v>
      </c>
      <c r="BM12" s="368">
        <v>191.4</v>
      </c>
      <c r="BN12" s="368">
        <v>199.9</v>
      </c>
      <c r="BO12" s="368">
        <v>190</v>
      </c>
      <c r="BP12" s="368">
        <v>184</v>
      </c>
      <c r="BQ12" s="368">
        <v>181</v>
      </c>
      <c r="BR12" s="368">
        <v>181</v>
      </c>
      <c r="BS12" s="368">
        <v>191</v>
      </c>
      <c r="BT12" s="368">
        <v>186</v>
      </c>
      <c r="BU12" s="368">
        <v>188.1</v>
      </c>
      <c r="BV12" s="368">
        <v>180.1</v>
      </c>
      <c r="BW12" s="368">
        <v>176.7</v>
      </c>
      <c r="BX12" s="368">
        <v>180</v>
      </c>
      <c r="BY12" s="368">
        <v>173.2</v>
      </c>
      <c r="BZ12" s="368">
        <v>197.2</v>
      </c>
      <c r="CA12" s="368">
        <v>200</v>
      </c>
      <c r="CB12" s="368">
        <v>193.8</v>
      </c>
      <c r="CC12" s="368">
        <v>245</v>
      </c>
      <c r="CD12" s="368">
        <v>230.5</v>
      </c>
      <c r="CE12" s="368">
        <v>229</v>
      </c>
      <c r="CF12" s="368">
        <v>236.9</v>
      </c>
      <c r="CG12" s="368">
        <v>235.5</v>
      </c>
      <c r="CH12" s="368">
        <v>228.2</v>
      </c>
      <c r="CI12" s="368">
        <v>216.1</v>
      </c>
      <c r="CJ12" s="368">
        <v>218.3</v>
      </c>
      <c r="CK12" s="368">
        <v>230.1</v>
      </c>
      <c r="CL12" s="368">
        <v>211.3</v>
      </c>
      <c r="CM12" s="368">
        <v>212.5</v>
      </c>
      <c r="CN12" s="368">
        <v>212.8</v>
      </c>
      <c r="CO12" s="368">
        <v>200.2</v>
      </c>
      <c r="CP12" s="368">
        <v>191</v>
      </c>
      <c r="CQ12" s="368">
        <v>189.7</v>
      </c>
      <c r="CR12" s="368">
        <v>200.9</v>
      </c>
      <c r="CS12" s="368">
        <v>195.8</v>
      </c>
      <c r="CT12" s="368">
        <v>217.6</v>
      </c>
      <c r="CU12" s="368">
        <v>227.7</v>
      </c>
      <c r="CV12" s="368">
        <v>212.4</v>
      </c>
      <c r="CW12" s="368">
        <v>173.3</v>
      </c>
      <c r="CX12" s="368">
        <v>177.7</v>
      </c>
      <c r="CY12" s="368">
        <v>213.2</v>
      </c>
      <c r="CZ12" s="368">
        <v>205.5</v>
      </c>
      <c r="DA12" s="368">
        <v>212.1</v>
      </c>
      <c r="DB12" s="368">
        <v>194.6</v>
      </c>
      <c r="DC12" s="368">
        <v>191.8</v>
      </c>
      <c r="DD12" s="368">
        <v>191.1</v>
      </c>
      <c r="DE12" s="368">
        <v>186.8</v>
      </c>
      <c r="DF12" s="368">
        <v>187.6</v>
      </c>
      <c r="DG12" s="368">
        <v>221.1</v>
      </c>
      <c r="DH12" s="368">
        <v>198.8</v>
      </c>
      <c r="DI12" s="368">
        <v>200.9</v>
      </c>
      <c r="DJ12" s="368">
        <v>200.5</v>
      </c>
      <c r="DK12" s="368">
        <v>228.8</v>
      </c>
      <c r="DL12" s="368">
        <v>229.6</v>
      </c>
      <c r="DM12" s="368">
        <v>232.9</v>
      </c>
      <c r="DN12" s="368">
        <v>231.3</v>
      </c>
      <c r="DO12" s="368">
        <v>229.3</v>
      </c>
      <c r="DP12" s="368">
        <v>181.6</v>
      </c>
      <c r="DQ12" s="368">
        <v>209.6</v>
      </c>
      <c r="DR12" s="368">
        <v>202.6</v>
      </c>
      <c r="DS12" s="368">
        <v>213.7</v>
      </c>
      <c r="DT12" s="368">
        <v>270.5</v>
      </c>
      <c r="DU12" s="368">
        <v>208.4</v>
      </c>
      <c r="DV12" s="368">
        <v>209.8</v>
      </c>
      <c r="DW12" s="368">
        <v>203.6</v>
      </c>
      <c r="DX12" s="368">
        <v>200.8</v>
      </c>
      <c r="DY12" s="368">
        <v>247.9</v>
      </c>
      <c r="DZ12" s="368">
        <v>180.6</v>
      </c>
      <c r="EA12" s="368">
        <v>182</v>
      </c>
      <c r="EB12" s="368">
        <v>179.8</v>
      </c>
      <c r="EC12" s="368">
        <v>174.6</v>
      </c>
      <c r="ED12" s="368">
        <v>179.6</v>
      </c>
      <c r="EE12" s="368">
        <v>185.5</v>
      </c>
      <c r="EF12" s="368">
        <v>202.4</v>
      </c>
      <c r="EG12" s="368">
        <v>195</v>
      </c>
      <c r="EH12" s="368">
        <v>190.1</v>
      </c>
      <c r="EI12" s="368">
        <v>205.9</v>
      </c>
      <c r="EJ12" s="368">
        <v>195.2</v>
      </c>
      <c r="EK12" s="368">
        <v>189.3</v>
      </c>
      <c r="EL12" s="368">
        <v>199.9</v>
      </c>
      <c r="EM12" s="368">
        <v>190.6</v>
      </c>
      <c r="EN12" s="368">
        <v>206.1</v>
      </c>
      <c r="EO12" s="368">
        <v>197.9</v>
      </c>
      <c r="EP12" s="368">
        <v>177.7</v>
      </c>
      <c r="EQ12" s="368">
        <v>180.1</v>
      </c>
      <c r="ER12" s="368">
        <v>172</v>
      </c>
      <c r="ES12" s="368">
        <v>209.1</v>
      </c>
      <c r="ET12" s="368">
        <v>209.2</v>
      </c>
      <c r="EU12" s="368">
        <v>214.8</v>
      </c>
      <c r="EV12" s="368">
        <v>199.7</v>
      </c>
      <c r="EW12" s="368">
        <v>202.4</v>
      </c>
      <c r="EX12" s="368">
        <v>238.2</v>
      </c>
      <c r="EY12" s="368">
        <v>212.2</v>
      </c>
      <c r="EZ12" s="368">
        <v>207.6</v>
      </c>
      <c r="FA12" s="368">
        <v>207</v>
      </c>
      <c r="FB12" s="368">
        <v>221.6</v>
      </c>
      <c r="FC12" s="368">
        <v>176.8</v>
      </c>
      <c r="FD12" s="368">
        <v>176.6</v>
      </c>
      <c r="FE12" s="368">
        <v>174.7</v>
      </c>
      <c r="FF12" s="368">
        <v>175.2</v>
      </c>
      <c r="FG12" s="368">
        <v>177.4</v>
      </c>
      <c r="FH12" s="368">
        <v>173.9</v>
      </c>
      <c r="FI12" s="368">
        <v>181.9</v>
      </c>
      <c r="FJ12" s="368">
        <v>181.9</v>
      </c>
      <c r="FK12" s="368">
        <v>173.7</v>
      </c>
      <c r="FL12" s="368">
        <v>171</v>
      </c>
      <c r="FM12" s="368">
        <v>173.3</v>
      </c>
      <c r="FN12" s="368">
        <v>178.3</v>
      </c>
      <c r="FO12" s="368">
        <v>175.5</v>
      </c>
      <c r="FP12" s="368">
        <v>177.9</v>
      </c>
      <c r="FQ12" s="368">
        <v>172.8</v>
      </c>
      <c r="FR12" s="368">
        <v>174.1</v>
      </c>
      <c r="FS12" s="368">
        <v>180.5</v>
      </c>
      <c r="FT12" s="368">
        <v>175.2</v>
      </c>
      <c r="FU12" s="368">
        <v>172.6</v>
      </c>
      <c r="FV12" s="368">
        <v>173.1</v>
      </c>
      <c r="FW12" s="368">
        <v>170.3</v>
      </c>
      <c r="FX12" s="368">
        <v>170.1</v>
      </c>
      <c r="FY12" s="368">
        <v>179.4</v>
      </c>
      <c r="FZ12" s="368">
        <v>184.7</v>
      </c>
      <c r="GA12" s="368">
        <v>193.6</v>
      </c>
      <c r="GB12" s="368">
        <v>190.2</v>
      </c>
      <c r="GC12" s="368">
        <v>195.6</v>
      </c>
      <c r="GD12" s="368">
        <v>178.3</v>
      </c>
      <c r="GE12" s="368">
        <v>178.2</v>
      </c>
      <c r="GF12" s="373">
        <f t="shared" si="0"/>
        <v>178.60000000000002</v>
      </c>
      <c r="GG12" s="373">
        <f t="shared" si="1"/>
        <v>187.25</v>
      </c>
      <c r="GH12" s="369">
        <v>178.9</v>
      </c>
      <c r="GI12" s="368">
        <v>178</v>
      </c>
      <c r="GJ12" s="368">
        <v>213.4</v>
      </c>
      <c r="GK12" s="368">
        <v>195.1</v>
      </c>
      <c r="GL12" s="368">
        <v>209.7</v>
      </c>
      <c r="GM12" s="368">
        <v>204.2</v>
      </c>
      <c r="GN12" s="368">
        <v>206.5</v>
      </c>
      <c r="GO12" s="368">
        <v>207.4</v>
      </c>
      <c r="GP12" s="368">
        <v>212.8</v>
      </c>
      <c r="GQ12" s="368">
        <v>207.4</v>
      </c>
      <c r="GR12" s="368">
        <v>214.4</v>
      </c>
      <c r="GS12" s="368">
        <v>212.4</v>
      </c>
      <c r="GT12" s="368">
        <v>178.6</v>
      </c>
      <c r="GU12" s="368">
        <v>229.1</v>
      </c>
      <c r="GV12" s="368">
        <v>229.4</v>
      </c>
      <c r="GW12" s="368">
        <v>221.7</v>
      </c>
      <c r="GX12" s="368">
        <v>221.3</v>
      </c>
      <c r="GY12" s="368">
        <v>218.5</v>
      </c>
      <c r="GZ12" s="368">
        <v>223.4</v>
      </c>
      <c r="HA12" s="368">
        <v>218.9</v>
      </c>
      <c r="HB12" s="368">
        <v>228.6</v>
      </c>
      <c r="HC12" s="368">
        <v>219.3</v>
      </c>
      <c r="HD12" s="368">
        <v>205.3</v>
      </c>
    </row>
    <row r="13" spans="1:488" s="233" customFormat="1" ht="22.05" customHeight="1" x14ac:dyDescent="0.25">
      <c r="A13" s="368">
        <v>2015</v>
      </c>
      <c r="B13" s="368">
        <v>184.8</v>
      </c>
      <c r="C13" s="368">
        <v>182.1</v>
      </c>
      <c r="D13" s="368">
        <v>185.4</v>
      </c>
      <c r="E13" s="368">
        <v>182.7</v>
      </c>
      <c r="F13" s="368">
        <v>184.5</v>
      </c>
      <c r="G13" s="368">
        <v>244.7</v>
      </c>
      <c r="H13" s="375">
        <v>181</v>
      </c>
      <c r="I13" s="368">
        <v>177.9</v>
      </c>
      <c r="J13" s="368">
        <v>167.6</v>
      </c>
      <c r="K13" s="368">
        <v>171.1</v>
      </c>
      <c r="L13" s="368">
        <v>217.3</v>
      </c>
      <c r="M13" s="368">
        <v>214.6</v>
      </c>
      <c r="N13" s="368">
        <v>218.8</v>
      </c>
      <c r="O13" s="368">
        <v>218.5</v>
      </c>
      <c r="P13" s="368">
        <v>215.7</v>
      </c>
      <c r="Q13" s="368">
        <v>217.1</v>
      </c>
      <c r="R13" s="375">
        <v>221</v>
      </c>
      <c r="S13" s="368">
        <v>213.1</v>
      </c>
      <c r="T13" s="368">
        <v>250.2</v>
      </c>
      <c r="U13" s="368">
        <v>215.7</v>
      </c>
      <c r="V13" s="368">
        <v>222.8</v>
      </c>
      <c r="W13" s="368">
        <v>230.2</v>
      </c>
      <c r="X13" s="368">
        <v>185.1</v>
      </c>
      <c r="Y13" s="368">
        <v>186.6</v>
      </c>
      <c r="Z13" s="368">
        <v>183.5</v>
      </c>
      <c r="AA13" s="368">
        <v>224.1</v>
      </c>
      <c r="AB13" s="368">
        <v>223.3</v>
      </c>
      <c r="AC13" s="368">
        <v>224.2</v>
      </c>
      <c r="AD13" s="368">
        <v>222.8</v>
      </c>
      <c r="AE13" s="368">
        <v>225</v>
      </c>
      <c r="AF13" s="368">
        <v>230.2</v>
      </c>
      <c r="AG13" s="368">
        <v>230.3</v>
      </c>
      <c r="AH13" s="370">
        <v>223.8</v>
      </c>
      <c r="AI13" s="368">
        <v>211.7</v>
      </c>
      <c r="AJ13" s="368">
        <v>197.3</v>
      </c>
      <c r="AK13" s="368">
        <v>176.1</v>
      </c>
      <c r="AL13" s="368">
        <v>174.2</v>
      </c>
      <c r="AM13" s="368">
        <v>178.1</v>
      </c>
      <c r="AN13" s="368">
        <v>178.3</v>
      </c>
      <c r="AO13" s="368">
        <v>172.5</v>
      </c>
      <c r="AP13" s="368">
        <v>178.9</v>
      </c>
      <c r="AQ13" s="368">
        <v>168.6</v>
      </c>
      <c r="AR13" s="368">
        <v>178.3</v>
      </c>
      <c r="AS13" s="368">
        <v>171.3</v>
      </c>
      <c r="AT13" s="375">
        <v>170</v>
      </c>
      <c r="AU13" s="368">
        <v>170.5</v>
      </c>
      <c r="AV13" s="368">
        <v>250.5</v>
      </c>
      <c r="AW13" s="368">
        <v>185.4</v>
      </c>
      <c r="AX13" s="368">
        <v>185.3</v>
      </c>
      <c r="AY13" s="368">
        <v>238.9</v>
      </c>
      <c r="AZ13" s="375">
        <v>209</v>
      </c>
      <c r="BA13" s="368">
        <v>238.7</v>
      </c>
      <c r="BB13" s="368">
        <v>213.7</v>
      </c>
      <c r="BC13" s="368">
        <v>225.3</v>
      </c>
      <c r="BD13" s="368">
        <v>210.5</v>
      </c>
      <c r="BE13" s="368">
        <v>186.4</v>
      </c>
      <c r="BF13" s="368">
        <v>190.1</v>
      </c>
      <c r="BG13" s="375">
        <v>183</v>
      </c>
      <c r="BH13" s="368">
        <v>212.4</v>
      </c>
      <c r="BI13" s="368">
        <v>189.6</v>
      </c>
      <c r="BJ13" s="375">
        <v>186</v>
      </c>
      <c r="BK13" s="368">
        <v>188.6</v>
      </c>
      <c r="BL13" s="368">
        <v>190.6</v>
      </c>
      <c r="BM13" s="368">
        <v>188.8</v>
      </c>
      <c r="BN13" s="368">
        <v>196.9</v>
      </c>
      <c r="BO13" s="375">
        <v>189</v>
      </c>
      <c r="BP13" s="368">
        <v>179.1</v>
      </c>
      <c r="BQ13" s="368">
        <v>177.8</v>
      </c>
      <c r="BR13" s="368">
        <v>175.7</v>
      </c>
      <c r="BS13" s="368">
        <v>175.1</v>
      </c>
      <c r="BT13" s="368">
        <v>184.4</v>
      </c>
      <c r="BU13" s="368">
        <v>185.9</v>
      </c>
      <c r="BV13" s="368">
        <v>176.6</v>
      </c>
      <c r="BW13" s="368">
        <v>175.4</v>
      </c>
      <c r="BX13" s="368">
        <v>177.6</v>
      </c>
      <c r="BY13" s="368">
        <v>170.9</v>
      </c>
      <c r="BZ13" s="368">
        <v>193.7</v>
      </c>
      <c r="CA13" s="368">
        <v>196.9</v>
      </c>
      <c r="CB13" s="368">
        <v>189.2</v>
      </c>
      <c r="CC13" s="368">
        <v>240.7</v>
      </c>
      <c r="CD13" s="368">
        <v>228.3</v>
      </c>
      <c r="CE13" s="368">
        <v>228.2</v>
      </c>
      <c r="CF13" s="368">
        <v>234.5</v>
      </c>
      <c r="CG13" s="368">
        <v>233.2</v>
      </c>
      <c r="CH13" s="368">
        <v>227.4</v>
      </c>
      <c r="CI13" s="368">
        <v>212.8</v>
      </c>
      <c r="CJ13" s="368">
        <v>214.6</v>
      </c>
      <c r="CK13" s="368">
        <v>226.8</v>
      </c>
      <c r="CL13" s="368">
        <v>209.8</v>
      </c>
      <c r="CM13" s="368">
        <v>211.5</v>
      </c>
      <c r="CN13" s="368">
        <v>211.8</v>
      </c>
      <c r="CO13" s="368">
        <v>198.9</v>
      </c>
      <c r="CP13" s="368">
        <v>191.2</v>
      </c>
      <c r="CQ13" s="368">
        <v>190.4</v>
      </c>
      <c r="CR13" s="368">
        <v>199.6</v>
      </c>
      <c r="CS13" s="368">
        <v>194.1</v>
      </c>
      <c r="CT13" s="368">
        <v>212.9</v>
      </c>
      <c r="CU13" s="375">
        <v>220</v>
      </c>
      <c r="CV13" s="368">
        <v>209.1</v>
      </c>
      <c r="CW13" s="368">
        <v>167.3</v>
      </c>
      <c r="CX13" s="368">
        <v>174.2</v>
      </c>
      <c r="CY13" s="368">
        <v>210</v>
      </c>
      <c r="CZ13" s="368">
        <v>202.3</v>
      </c>
      <c r="DA13" s="368">
        <v>210.1</v>
      </c>
      <c r="DB13" s="368">
        <v>191.8</v>
      </c>
      <c r="DC13" s="368">
        <v>188.1</v>
      </c>
      <c r="DD13" s="368">
        <v>188.4</v>
      </c>
      <c r="DE13" s="368">
        <v>183.7</v>
      </c>
      <c r="DF13" s="368">
        <v>184.7</v>
      </c>
      <c r="DG13" s="368">
        <v>215.5</v>
      </c>
      <c r="DH13" s="368">
        <v>194.9</v>
      </c>
      <c r="DI13" s="368">
        <v>198.7</v>
      </c>
      <c r="DJ13" s="368">
        <v>197.8</v>
      </c>
      <c r="DK13" s="368">
        <v>224.5</v>
      </c>
      <c r="DL13" s="368">
        <v>226.1</v>
      </c>
      <c r="DM13" s="368">
        <v>230.1</v>
      </c>
      <c r="DN13" s="368">
        <v>228.5</v>
      </c>
      <c r="DO13" s="368">
        <v>227.6</v>
      </c>
      <c r="DP13" s="368">
        <v>178.3</v>
      </c>
      <c r="DQ13" s="368">
        <v>208.1</v>
      </c>
      <c r="DR13" s="368">
        <v>202.4</v>
      </c>
      <c r="DS13" s="368">
        <v>209.6</v>
      </c>
      <c r="DT13" s="375">
        <v>268</v>
      </c>
      <c r="DU13" s="368">
        <v>203.5</v>
      </c>
      <c r="DV13" s="368">
        <v>207.4</v>
      </c>
      <c r="DW13" s="368">
        <v>200.9</v>
      </c>
      <c r="DX13" s="368">
        <v>198.1</v>
      </c>
      <c r="DY13" s="368">
        <v>243.4</v>
      </c>
      <c r="DZ13" s="368">
        <v>173.1</v>
      </c>
      <c r="EA13" s="368">
        <v>172.3</v>
      </c>
      <c r="EB13" s="368">
        <v>170.5</v>
      </c>
      <c r="EC13" s="368">
        <v>167.6</v>
      </c>
      <c r="ED13" s="368">
        <v>170.6</v>
      </c>
      <c r="EE13" s="375">
        <v>181</v>
      </c>
      <c r="EF13" s="375">
        <v>181</v>
      </c>
      <c r="EG13" s="369">
        <v>191.1</v>
      </c>
      <c r="EH13" s="369">
        <v>188.1</v>
      </c>
      <c r="EI13" s="369">
        <v>203.4</v>
      </c>
      <c r="EJ13" s="369">
        <v>192.4</v>
      </c>
      <c r="EK13" s="369">
        <v>187.9</v>
      </c>
      <c r="EL13" s="369">
        <v>196.7</v>
      </c>
      <c r="EM13" s="369">
        <v>188.1</v>
      </c>
      <c r="EN13" s="376">
        <v>201</v>
      </c>
      <c r="EO13" s="369">
        <v>193.3</v>
      </c>
      <c r="EP13" s="368">
        <v>175.1</v>
      </c>
      <c r="EQ13" s="368">
        <v>177.1</v>
      </c>
      <c r="ER13" s="375">
        <v>170</v>
      </c>
      <c r="ES13" s="368">
        <v>203.1</v>
      </c>
      <c r="ET13" s="368">
        <v>204.3</v>
      </c>
      <c r="EU13" s="368">
        <v>209.8</v>
      </c>
      <c r="EV13" s="368">
        <v>194.5</v>
      </c>
      <c r="EW13" s="368">
        <v>200.3</v>
      </c>
      <c r="EX13" s="368">
        <v>234.7</v>
      </c>
      <c r="EY13" s="368">
        <v>209.5</v>
      </c>
      <c r="EZ13" s="368">
        <v>204.2</v>
      </c>
      <c r="FA13" s="368">
        <v>201.7</v>
      </c>
      <c r="FB13" s="368">
        <v>219.9</v>
      </c>
      <c r="FC13" s="370">
        <v>171.3</v>
      </c>
      <c r="FD13" s="368">
        <v>171.9</v>
      </c>
      <c r="FE13" s="368">
        <v>167.7</v>
      </c>
      <c r="FF13" s="375">
        <v>168</v>
      </c>
      <c r="FG13" s="368">
        <v>174.3</v>
      </c>
      <c r="FH13" s="375">
        <v>171</v>
      </c>
      <c r="FI13" s="368">
        <v>177.5</v>
      </c>
      <c r="FJ13" s="368">
        <v>179.9</v>
      </c>
      <c r="FK13" s="368">
        <v>170.8</v>
      </c>
      <c r="FL13" s="368">
        <v>170.7</v>
      </c>
      <c r="FM13" s="368">
        <v>172.3</v>
      </c>
      <c r="FN13" s="375">
        <v>174</v>
      </c>
      <c r="FO13" s="368">
        <v>172.8</v>
      </c>
      <c r="FP13" s="368">
        <v>174.4</v>
      </c>
      <c r="FQ13" s="368">
        <v>168.8</v>
      </c>
      <c r="FR13" s="368">
        <v>172.5</v>
      </c>
      <c r="FS13" s="368">
        <v>176.4</v>
      </c>
      <c r="FT13" s="368">
        <v>173.3</v>
      </c>
      <c r="FU13" s="368">
        <v>171.5</v>
      </c>
      <c r="FV13" s="368">
        <v>171.8</v>
      </c>
      <c r="FW13" s="370">
        <v>167.3</v>
      </c>
      <c r="FX13" s="375">
        <v>169</v>
      </c>
      <c r="FY13" s="368">
        <v>177.1</v>
      </c>
      <c r="FZ13" s="368">
        <v>182.1</v>
      </c>
      <c r="GA13" s="368">
        <v>191.6</v>
      </c>
      <c r="GB13" s="368">
        <v>188.5</v>
      </c>
      <c r="GC13" s="369">
        <v>192.5</v>
      </c>
      <c r="GD13" s="369">
        <v>175.8</v>
      </c>
      <c r="GE13" s="369">
        <v>177.4</v>
      </c>
      <c r="GF13" s="373">
        <f t="shared" si="0"/>
        <v>176.5</v>
      </c>
      <c r="GG13" s="373">
        <f t="shared" si="1"/>
        <v>184.85</v>
      </c>
      <c r="GH13" s="369" t="s">
        <v>891</v>
      </c>
      <c r="GI13" s="369">
        <v>175.3</v>
      </c>
      <c r="GJ13" s="368">
        <v>209.9</v>
      </c>
      <c r="GK13" s="368">
        <v>193.1</v>
      </c>
      <c r="GL13" s="368">
        <v>207.2</v>
      </c>
      <c r="GM13" s="368">
        <v>199.9</v>
      </c>
      <c r="GN13" s="368">
        <v>201.3</v>
      </c>
      <c r="GO13" s="368">
        <v>200.8</v>
      </c>
      <c r="GP13" s="368">
        <v>205.4</v>
      </c>
      <c r="GQ13" s="375">
        <v>202</v>
      </c>
      <c r="GR13" s="368">
        <v>209.4</v>
      </c>
      <c r="GS13" s="368">
        <v>205.1</v>
      </c>
      <c r="GT13" s="368">
        <v>175.4</v>
      </c>
      <c r="GU13" s="368">
        <v>226.6</v>
      </c>
      <c r="GV13" s="368">
        <v>226.3</v>
      </c>
      <c r="GW13" s="368">
        <v>221.2</v>
      </c>
      <c r="GX13" s="375">
        <v>217</v>
      </c>
      <c r="GY13" s="368">
        <v>220.4</v>
      </c>
      <c r="GZ13" s="368">
        <v>220.4</v>
      </c>
      <c r="HA13" s="368">
        <v>220.4</v>
      </c>
      <c r="HB13" s="368">
        <v>225.9</v>
      </c>
      <c r="HC13" s="368">
        <v>217.1</v>
      </c>
      <c r="HD13" s="368">
        <v>204.1</v>
      </c>
    </row>
    <row r="14" spans="1:488" s="234" customFormat="1" ht="22.05" customHeight="1" x14ac:dyDescent="0.25">
      <c r="A14" s="377" t="s">
        <v>1190</v>
      </c>
      <c r="B14" s="378">
        <v>180.3</v>
      </c>
      <c r="C14" s="378">
        <v>175.8</v>
      </c>
      <c r="D14" s="378">
        <v>170.6</v>
      </c>
      <c r="E14" s="378">
        <v>163.1</v>
      </c>
      <c r="F14" s="378">
        <v>165.9</v>
      </c>
      <c r="G14" s="378" t="s">
        <v>733</v>
      </c>
      <c r="H14" s="378" t="s">
        <v>734</v>
      </c>
      <c r="I14" s="378" t="s">
        <v>735</v>
      </c>
      <c r="J14" s="378" t="s">
        <v>736</v>
      </c>
      <c r="K14" s="378" t="s">
        <v>737</v>
      </c>
      <c r="L14" s="378" t="s">
        <v>738</v>
      </c>
      <c r="M14" s="378" t="s">
        <v>739</v>
      </c>
      <c r="N14" s="378" t="s">
        <v>740</v>
      </c>
      <c r="O14" s="378" t="s">
        <v>741</v>
      </c>
      <c r="P14" s="378" t="s">
        <v>742</v>
      </c>
      <c r="Q14" s="378" t="s">
        <v>743</v>
      </c>
      <c r="R14" s="378" t="s">
        <v>744</v>
      </c>
      <c r="S14" s="378" t="s">
        <v>745</v>
      </c>
      <c r="T14" s="378" t="s">
        <v>746</v>
      </c>
      <c r="U14" s="378" t="s">
        <v>747</v>
      </c>
      <c r="V14" s="378" t="s">
        <v>748</v>
      </c>
      <c r="W14" s="378" t="s">
        <v>749</v>
      </c>
      <c r="X14" s="378" t="s">
        <v>750</v>
      </c>
      <c r="Y14" s="378" t="s">
        <v>751</v>
      </c>
      <c r="Z14" s="378" t="s">
        <v>752</v>
      </c>
      <c r="AA14" s="378" t="s">
        <v>753</v>
      </c>
      <c r="AB14" s="378" t="s">
        <v>754</v>
      </c>
      <c r="AC14" s="378" t="s">
        <v>755</v>
      </c>
      <c r="AD14" s="378" t="s">
        <v>756</v>
      </c>
      <c r="AE14" s="378" t="s">
        <v>757</v>
      </c>
      <c r="AF14" s="378" t="s">
        <v>758</v>
      </c>
      <c r="AG14" s="378" t="s">
        <v>759</v>
      </c>
      <c r="AH14" s="378" t="s">
        <v>760</v>
      </c>
      <c r="AI14" s="378" t="s">
        <v>761</v>
      </c>
      <c r="AJ14" s="378" t="s">
        <v>762</v>
      </c>
      <c r="AK14" s="378" t="s">
        <v>763</v>
      </c>
      <c r="AL14" s="378" t="s">
        <v>764</v>
      </c>
      <c r="AM14" s="378" t="s">
        <v>765</v>
      </c>
      <c r="AN14" s="378" t="s">
        <v>763</v>
      </c>
      <c r="AO14" s="378" t="s">
        <v>766</v>
      </c>
      <c r="AP14" s="378" t="s">
        <v>767</v>
      </c>
      <c r="AQ14" s="378" t="s">
        <v>768</v>
      </c>
      <c r="AR14" s="378" t="s">
        <v>769</v>
      </c>
      <c r="AS14" s="378" t="s">
        <v>770</v>
      </c>
      <c r="AT14" s="378" t="s">
        <v>771</v>
      </c>
      <c r="AU14" s="378" t="s">
        <v>772</v>
      </c>
      <c r="AV14" s="378" t="s">
        <v>773</v>
      </c>
      <c r="AW14" s="378" t="s">
        <v>774</v>
      </c>
      <c r="AX14" s="378" t="s">
        <v>775</v>
      </c>
      <c r="AY14" s="378" t="s">
        <v>776</v>
      </c>
      <c r="AZ14" s="378" t="s">
        <v>777</v>
      </c>
      <c r="BA14" s="378" t="s">
        <v>778</v>
      </c>
      <c r="BB14" s="378" t="s">
        <v>779</v>
      </c>
      <c r="BC14" s="378" t="s">
        <v>780</v>
      </c>
      <c r="BD14" s="378" t="s">
        <v>781</v>
      </c>
      <c r="BE14" s="378" t="s">
        <v>782</v>
      </c>
      <c r="BF14" s="378" t="s">
        <v>783</v>
      </c>
      <c r="BG14" s="378" t="s">
        <v>784</v>
      </c>
      <c r="BH14" s="378" t="s">
        <v>785</v>
      </c>
      <c r="BI14" s="378" t="s">
        <v>786</v>
      </c>
      <c r="BJ14" s="378" t="s">
        <v>787</v>
      </c>
      <c r="BK14" s="378" t="s">
        <v>788</v>
      </c>
      <c r="BL14" s="378" t="s">
        <v>789</v>
      </c>
      <c r="BM14" s="378" t="s">
        <v>790</v>
      </c>
      <c r="BN14" s="378" t="s">
        <v>791</v>
      </c>
      <c r="BO14" s="378" t="s">
        <v>792</v>
      </c>
      <c r="BP14" s="378" t="s">
        <v>793</v>
      </c>
      <c r="BQ14" s="378" t="s">
        <v>794</v>
      </c>
      <c r="BR14" s="378" t="s">
        <v>795</v>
      </c>
      <c r="BS14" s="378" t="s">
        <v>796</v>
      </c>
      <c r="BT14" s="378" t="s">
        <v>797</v>
      </c>
      <c r="BU14" s="378" t="s">
        <v>798</v>
      </c>
      <c r="BV14" s="378" t="s">
        <v>799</v>
      </c>
      <c r="BW14" s="378" t="s">
        <v>800</v>
      </c>
      <c r="BX14" s="378" t="s">
        <v>769</v>
      </c>
      <c r="BY14" s="378" t="s">
        <v>801</v>
      </c>
      <c r="BZ14" s="378" t="s">
        <v>802</v>
      </c>
      <c r="CA14" s="378" t="s">
        <v>803</v>
      </c>
      <c r="CB14" s="378" t="s">
        <v>804</v>
      </c>
      <c r="CC14" s="378" t="s">
        <v>805</v>
      </c>
      <c r="CD14" s="378" t="s">
        <v>806</v>
      </c>
      <c r="CE14" s="378" t="s">
        <v>807</v>
      </c>
      <c r="CF14" s="378" t="s">
        <v>808</v>
      </c>
      <c r="CG14" s="378" t="s">
        <v>809</v>
      </c>
      <c r="CH14" s="378" t="s">
        <v>810</v>
      </c>
      <c r="CI14" s="378" t="s">
        <v>811</v>
      </c>
      <c r="CJ14" s="378" t="s">
        <v>742</v>
      </c>
      <c r="CK14" s="378" t="s">
        <v>812</v>
      </c>
      <c r="CL14" s="378" t="s">
        <v>813</v>
      </c>
      <c r="CM14" s="378" t="s">
        <v>814</v>
      </c>
      <c r="CN14" s="378" t="s">
        <v>815</v>
      </c>
      <c r="CO14" s="378" t="s">
        <v>816</v>
      </c>
      <c r="CP14" s="378" t="s">
        <v>817</v>
      </c>
      <c r="CQ14" s="378" t="s">
        <v>786</v>
      </c>
      <c r="CR14" s="378" t="s">
        <v>818</v>
      </c>
      <c r="CS14" s="378" t="s">
        <v>819</v>
      </c>
      <c r="CT14" s="378" t="s">
        <v>820</v>
      </c>
      <c r="CU14" s="378" t="s">
        <v>821</v>
      </c>
      <c r="CV14" s="378" t="s">
        <v>822</v>
      </c>
      <c r="CW14" s="378" t="s">
        <v>823</v>
      </c>
      <c r="CX14" s="378" t="s">
        <v>824</v>
      </c>
      <c r="CY14" s="378" t="s">
        <v>825</v>
      </c>
      <c r="CZ14" s="378" t="s">
        <v>826</v>
      </c>
      <c r="DA14" s="378" t="s">
        <v>827</v>
      </c>
      <c r="DB14" s="378" t="s">
        <v>828</v>
      </c>
      <c r="DC14" s="378" t="s">
        <v>829</v>
      </c>
      <c r="DD14" s="378" t="s">
        <v>830</v>
      </c>
      <c r="DE14" s="378" t="s">
        <v>831</v>
      </c>
      <c r="DF14" s="378" t="s">
        <v>797</v>
      </c>
      <c r="DG14" s="378" t="s">
        <v>832</v>
      </c>
      <c r="DH14" s="378" t="s">
        <v>818</v>
      </c>
      <c r="DI14" s="378" t="s">
        <v>833</v>
      </c>
      <c r="DJ14" s="378" t="s">
        <v>834</v>
      </c>
      <c r="DK14" s="378" t="s">
        <v>835</v>
      </c>
      <c r="DL14" s="378" t="s">
        <v>836</v>
      </c>
      <c r="DM14" s="378" t="s">
        <v>837</v>
      </c>
      <c r="DN14" s="378" t="s">
        <v>838</v>
      </c>
      <c r="DO14" s="378" t="s">
        <v>836</v>
      </c>
      <c r="DP14" s="378" t="s">
        <v>839</v>
      </c>
      <c r="DQ14" s="378" t="s">
        <v>840</v>
      </c>
      <c r="DR14" s="378" t="s">
        <v>841</v>
      </c>
      <c r="DS14" s="378" t="s">
        <v>842</v>
      </c>
      <c r="DT14" s="378" t="s">
        <v>843</v>
      </c>
      <c r="DU14" s="378" t="s">
        <v>844</v>
      </c>
      <c r="DV14" s="378" t="s">
        <v>845</v>
      </c>
      <c r="DW14" s="378" t="s">
        <v>833</v>
      </c>
      <c r="DX14" s="378" t="s">
        <v>846</v>
      </c>
      <c r="DY14" s="378" t="s">
        <v>847</v>
      </c>
      <c r="DZ14" s="378" t="s">
        <v>848</v>
      </c>
      <c r="EA14" s="378" t="s">
        <v>849</v>
      </c>
      <c r="EB14" s="378" t="s">
        <v>850</v>
      </c>
      <c r="EC14" s="378" t="s">
        <v>851</v>
      </c>
      <c r="ED14" s="378" t="s">
        <v>852</v>
      </c>
      <c r="EE14" s="378" t="s">
        <v>853</v>
      </c>
      <c r="EF14" s="378" t="s">
        <v>854</v>
      </c>
      <c r="EG14" s="378" t="s">
        <v>855</v>
      </c>
      <c r="EH14" s="378" t="s">
        <v>783</v>
      </c>
      <c r="EI14" s="378" t="s">
        <v>856</v>
      </c>
      <c r="EJ14" s="378" t="s">
        <v>802</v>
      </c>
      <c r="EK14" s="378" t="s">
        <v>857</v>
      </c>
      <c r="EL14" s="378" t="s">
        <v>858</v>
      </c>
      <c r="EM14" s="378" t="s">
        <v>859</v>
      </c>
      <c r="EN14" s="378" t="s">
        <v>860</v>
      </c>
      <c r="EO14" s="378" t="s">
        <v>861</v>
      </c>
      <c r="EP14" s="378" t="s">
        <v>862</v>
      </c>
      <c r="EQ14" s="378" t="s">
        <v>800</v>
      </c>
      <c r="ER14" s="378" t="s">
        <v>863</v>
      </c>
      <c r="ES14" s="378" t="s">
        <v>864</v>
      </c>
      <c r="ET14" s="378" t="s">
        <v>865</v>
      </c>
      <c r="EU14" s="378" t="s">
        <v>866</v>
      </c>
      <c r="EV14" s="378" t="s">
        <v>867</v>
      </c>
      <c r="EW14" s="378" t="s">
        <v>868</v>
      </c>
      <c r="EX14" s="378" t="s">
        <v>869</v>
      </c>
      <c r="EY14" s="378" t="s">
        <v>870</v>
      </c>
      <c r="EZ14" s="378" t="s">
        <v>865</v>
      </c>
      <c r="FA14" s="378" t="s">
        <v>865</v>
      </c>
      <c r="FB14" s="378" t="s">
        <v>871</v>
      </c>
      <c r="FC14" s="379" t="s">
        <v>764</v>
      </c>
      <c r="FD14" s="378" t="s">
        <v>872</v>
      </c>
      <c r="FE14" s="378" t="s">
        <v>873</v>
      </c>
      <c r="FF14" s="378" t="s">
        <v>874</v>
      </c>
      <c r="FG14" s="378" t="s">
        <v>875</v>
      </c>
      <c r="FH14" s="378" t="s">
        <v>800</v>
      </c>
      <c r="FI14" s="378" t="s">
        <v>763</v>
      </c>
      <c r="FJ14" s="378" t="s">
        <v>876</v>
      </c>
      <c r="FK14" s="378" t="s">
        <v>877</v>
      </c>
      <c r="FL14" s="378" t="s">
        <v>772</v>
      </c>
      <c r="FM14" s="378" t="s">
        <v>878</v>
      </c>
      <c r="FN14" s="378" t="s">
        <v>849</v>
      </c>
      <c r="FO14" s="378" t="s">
        <v>879</v>
      </c>
      <c r="FP14" s="378" t="s">
        <v>880</v>
      </c>
      <c r="FQ14" s="378" t="s">
        <v>881</v>
      </c>
      <c r="FR14" s="378" t="s">
        <v>882</v>
      </c>
      <c r="FS14" s="378" t="s">
        <v>883</v>
      </c>
      <c r="FT14" s="378" t="s">
        <v>884</v>
      </c>
      <c r="FU14" s="378" t="s">
        <v>885</v>
      </c>
      <c r="FV14" s="378" t="s">
        <v>882</v>
      </c>
      <c r="FW14" s="378" t="s">
        <v>886</v>
      </c>
      <c r="FX14" s="378" t="s">
        <v>887</v>
      </c>
      <c r="FY14" s="378" t="s">
        <v>888</v>
      </c>
      <c r="FZ14" s="378" t="s">
        <v>853</v>
      </c>
      <c r="GA14" s="378" t="s">
        <v>889</v>
      </c>
      <c r="GB14" s="378" t="s">
        <v>890</v>
      </c>
      <c r="GC14" s="378">
        <v>190.5</v>
      </c>
      <c r="GD14" s="378">
        <v>174.4</v>
      </c>
      <c r="GE14" s="378">
        <v>175.7</v>
      </c>
      <c r="GF14" s="373">
        <f t="shared" si="0"/>
        <v>175.4</v>
      </c>
      <c r="GG14" s="373">
        <f t="shared" si="1"/>
        <v>183.45</v>
      </c>
      <c r="GH14" s="380">
        <v>176.4</v>
      </c>
      <c r="GI14" s="378">
        <v>173.5</v>
      </c>
      <c r="GJ14" s="378">
        <v>209.8</v>
      </c>
      <c r="GK14" s="378">
        <v>190.8</v>
      </c>
      <c r="GL14" s="378">
        <v>205.2</v>
      </c>
      <c r="GM14" s="377" t="s">
        <v>762</v>
      </c>
      <c r="GN14" s="378">
        <v>199.5</v>
      </c>
      <c r="GO14" s="378">
        <v>198.9</v>
      </c>
      <c r="GP14" s="378">
        <v>205.2</v>
      </c>
      <c r="GQ14" s="378">
        <v>202.4</v>
      </c>
      <c r="GR14" s="378">
        <v>210.2</v>
      </c>
      <c r="GS14" s="378">
        <v>205.3</v>
      </c>
      <c r="GT14" s="378">
        <v>173.6</v>
      </c>
      <c r="GU14" s="378">
        <v>228.2</v>
      </c>
      <c r="GV14" s="378">
        <v>229.1</v>
      </c>
      <c r="GW14" s="378">
        <v>222.1</v>
      </c>
      <c r="GX14" s="378">
        <v>218.9</v>
      </c>
      <c r="GY14" s="378">
        <v>219.8</v>
      </c>
      <c r="GZ14" s="378">
        <v>214.8</v>
      </c>
      <c r="HA14" s="378">
        <v>218.3</v>
      </c>
      <c r="HB14" s="378">
        <v>227.4</v>
      </c>
      <c r="HC14" s="378">
        <v>218.8</v>
      </c>
      <c r="HD14" s="378">
        <v>202.9</v>
      </c>
    </row>
    <row r="15" spans="1:488" s="234" customFormat="1" ht="22.05" customHeight="1" x14ac:dyDescent="0.25">
      <c r="A15" s="381">
        <v>2013</v>
      </c>
      <c r="B15" s="382">
        <v>173.3</v>
      </c>
      <c r="C15" s="382">
        <v>168.7</v>
      </c>
      <c r="D15" s="382">
        <v>165.7</v>
      </c>
      <c r="E15" s="382">
        <v>158.69999999999999</v>
      </c>
      <c r="F15" s="382">
        <v>161.6</v>
      </c>
      <c r="G15" s="382">
        <v>235.3</v>
      </c>
      <c r="H15" s="382">
        <v>174.1</v>
      </c>
      <c r="I15" s="382">
        <v>169.2</v>
      </c>
      <c r="J15" s="382">
        <v>161.19999999999999</v>
      </c>
      <c r="K15" s="382">
        <v>163.19999999999999</v>
      </c>
      <c r="L15" s="382">
        <v>207</v>
      </c>
      <c r="M15" s="382">
        <v>205.6</v>
      </c>
      <c r="N15" s="382">
        <v>210.3</v>
      </c>
      <c r="O15" s="382">
        <v>210.7</v>
      </c>
      <c r="P15" s="382">
        <v>207.8</v>
      </c>
      <c r="Q15" s="382">
        <v>207</v>
      </c>
      <c r="R15" s="382">
        <v>215</v>
      </c>
      <c r="S15" s="382">
        <v>203.2</v>
      </c>
      <c r="T15" s="382">
        <v>241</v>
      </c>
      <c r="U15" s="382">
        <v>207.9</v>
      </c>
      <c r="V15" s="382">
        <v>211.8</v>
      </c>
      <c r="W15" s="382">
        <v>222.2</v>
      </c>
      <c r="X15" s="382">
        <v>180.7</v>
      </c>
      <c r="Y15" s="382">
        <v>183.4</v>
      </c>
      <c r="Z15" s="382">
        <v>180</v>
      </c>
      <c r="AA15" s="382">
        <v>217.8</v>
      </c>
      <c r="AB15" s="382">
        <v>217.2</v>
      </c>
      <c r="AC15" s="382">
        <v>218.4</v>
      </c>
      <c r="AD15" s="382">
        <v>216.8</v>
      </c>
      <c r="AE15" s="382">
        <v>218.5</v>
      </c>
      <c r="AF15" s="382">
        <v>223.1</v>
      </c>
      <c r="AG15" s="382">
        <v>224.2</v>
      </c>
      <c r="AH15" s="382">
        <v>217.3</v>
      </c>
      <c r="AI15" s="382">
        <v>203.6</v>
      </c>
      <c r="AJ15" s="382">
        <v>191.7</v>
      </c>
      <c r="AK15" s="382">
        <v>173.2</v>
      </c>
      <c r="AL15" s="382">
        <v>168.4</v>
      </c>
      <c r="AM15" s="382">
        <v>175.8</v>
      </c>
      <c r="AN15" s="382">
        <v>174.8</v>
      </c>
      <c r="AO15" s="382">
        <v>160.80000000000001</v>
      </c>
      <c r="AP15" s="382">
        <v>180.2</v>
      </c>
      <c r="AQ15" s="382">
        <v>163.19999999999999</v>
      </c>
      <c r="AR15" s="382">
        <v>173.3</v>
      </c>
      <c r="AS15" s="382">
        <v>166.7</v>
      </c>
      <c r="AT15" s="382">
        <v>164.9</v>
      </c>
      <c r="AU15" s="382">
        <v>163.5</v>
      </c>
      <c r="AV15" s="382">
        <v>231.5</v>
      </c>
      <c r="AW15" s="382">
        <v>179.6</v>
      </c>
      <c r="AX15" s="382">
        <v>179.9</v>
      </c>
      <c r="AY15" s="382">
        <v>231.1</v>
      </c>
      <c r="AZ15" s="382">
        <v>200.8</v>
      </c>
      <c r="BA15" s="382">
        <v>228.7</v>
      </c>
      <c r="BB15" s="382">
        <v>207.2</v>
      </c>
      <c r="BC15" s="382">
        <v>217.2</v>
      </c>
      <c r="BD15" s="382">
        <v>203.2</v>
      </c>
      <c r="BE15" s="382">
        <v>177.8</v>
      </c>
      <c r="BF15" s="382">
        <v>182.5</v>
      </c>
      <c r="BG15" s="382">
        <v>175.9</v>
      </c>
      <c r="BH15" s="382">
        <v>203.6</v>
      </c>
      <c r="BI15" s="382">
        <v>182.7</v>
      </c>
      <c r="BJ15" s="382">
        <v>179.3</v>
      </c>
      <c r="BK15" s="382">
        <v>179.3</v>
      </c>
      <c r="BL15" s="382">
        <v>182.6</v>
      </c>
      <c r="BM15" s="382">
        <v>183.4</v>
      </c>
      <c r="BN15" s="382">
        <v>190.8</v>
      </c>
      <c r="BO15" s="382">
        <v>181.8</v>
      </c>
      <c r="BP15" s="382">
        <v>173.2</v>
      </c>
      <c r="BQ15" s="382">
        <v>171.3</v>
      </c>
      <c r="BR15" s="382">
        <v>168.8</v>
      </c>
      <c r="BS15" s="382">
        <v>167.3</v>
      </c>
      <c r="BT15" s="382">
        <v>179.1</v>
      </c>
      <c r="BU15" s="382">
        <v>182.4</v>
      </c>
      <c r="BV15" s="382">
        <v>166.3</v>
      </c>
      <c r="BW15" s="382">
        <v>166.2</v>
      </c>
      <c r="BX15" s="382">
        <v>173.1</v>
      </c>
      <c r="BY15" s="382">
        <v>159</v>
      </c>
      <c r="BZ15" s="382">
        <v>187.9</v>
      </c>
      <c r="CA15" s="382">
        <v>189.5</v>
      </c>
      <c r="CB15" s="382">
        <v>183.2</v>
      </c>
      <c r="CC15" s="382">
        <v>232.9</v>
      </c>
      <c r="CD15" s="382">
        <v>221.6</v>
      </c>
      <c r="CE15" s="382">
        <v>221.8</v>
      </c>
      <c r="CF15" s="382">
        <v>225.3</v>
      </c>
      <c r="CG15" s="382">
        <v>223.4</v>
      </c>
      <c r="CH15" s="382">
        <v>221.1</v>
      </c>
      <c r="CI15" s="382">
        <v>205.9</v>
      </c>
      <c r="CJ15" s="382">
        <v>206.5</v>
      </c>
      <c r="CK15" s="382">
        <v>219.3</v>
      </c>
      <c r="CL15" s="382">
        <v>201.2</v>
      </c>
      <c r="CM15" s="382">
        <v>202.4</v>
      </c>
      <c r="CN15" s="382">
        <v>203.1</v>
      </c>
      <c r="CO15" s="382">
        <v>190.6</v>
      </c>
      <c r="CP15" s="382">
        <v>182.4</v>
      </c>
      <c r="CQ15" s="382">
        <v>182.4</v>
      </c>
      <c r="CR15" s="382">
        <v>190.2</v>
      </c>
      <c r="CS15" s="382">
        <v>186.5</v>
      </c>
      <c r="CT15" s="382">
        <v>205.1</v>
      </c>
      <c r="CU15" s="382">
        <v>216.3</v>
      </c>
      <c r="CV15" s="382">
        <v>201.4</v>
      </c>
      <c r="CW15" s="382">
        <v>160.9</v>
      </c>
      <c r="CX15" s="382">
        <v>164.3</v>
      </c>
      <c r="CY15" s="382">
        <v>204.7</v>
      </c>
      <c r="CZ15" s="382">
        <v>193.1</v>
      </c>
      <c r="DA15" s="382">
        <v>202.4</v>
      </c>
      <c r="DB15" s="382">
        <v>181.6</v>
      </c>
      <c r="DC15" s="382">
        <v>180.5</v>
      </c>
      <c r="DD15" s="382">
        <v>181.1</v>
      </c>
      <c r="DE15" s="382">
        <v>175.5</v>
      </c>
      <c r="DF15" s="382">
        <v>180.6</v>
      </c>
      <c r="DG15" s="382">
        <v>206.8</v>
      </c>
      <c r="DH15" s="382">
        <v>190.4</v>
      </c>
      <c r="DI15" s="382">
        <v>193.8</v>
      </c>
      <c r="DJ15" s="382">
        <v>192.5</v>
      </c>
      <c r="DK15" s="382">
        <v>217.7</v>
      </c>
      <c r="DL15" s="382">
        <v>219.3</v>
      </c>
      <c r="DM15" s="382">
        <v>223.6</v>
      </c>
      <c r="DN15" s="382">
        <v>221.2</v>
      </c>
      <c r="DO15" s="382">
        <v>218.7</v>
      </c>
      <c r="DP15" s="382">
        <v>173.6</v>
      </c>
      <c r="DQ15" s="382">
        <v>195.3</v>
      </c>
      <c r="DR15" s="382">
        <v>195.5</v>
      </c>
      <c r="DS15" s="382">
        <v>200.7</v>
      </c>
      <c r="DT15" s="382">
        <v>259.39999999999998</v>
      </c>
      <c r="DU15" s="382">
        <v>194.3</v>
      </c>
      <c r="DV15" s="382">
        <v>195.5</v>
      </c>
      <c r="DW15" s="382">
        <v>193.6</v>
      </c>
      <c r="DX15" s="382">
        <v>188.5</v>
      </c>
      <c r="DY15" s="382">
        <v>230</v>
      </c>
      <c r="DZ15" s="382">
        <v>159.6</v>
      </c>
      <c r="EA15" s="382">
        <v>158.4</v>
      </c>
      <c r="EB15" s="382">
        <v>158.69999999999999</v>
      </c>
      <c r="EC15" s="382">
        <v>157.5</v>
      </c>
      <c r="ED15" s="382">
        <v>159.1</v>
      </c>
      <c r="EE15" s="382">
        <v>169.6</v>
      </c>
      <c r="EF15" s="382">
        <v>191.8</v>
      </c>
      <c r="EG15" s="382">
        <v>183.9</v>
      </c>
      <c r="EH15" s="382">
        <v>181.9</v>
      </c>
      <c r="EI15" s="382">
        <v>195.5</v>
      </c>
      <c r="EJ15" s="382">
        <v>187.1</v>
      </c>
      <c r="EK15" s="382">
        <v>180.7</v>
      </c>
      <c r="EL15" s="382">
        <v>187.6</v>
      </c>
      <c r="EM15" s="382">
        <v>181.5</v>
      </c>
      <c r="EN15" s="382">
        <v>193.5</v>
      </c>
      <c r="EO15" s="382">
        <v>186.5</v>
      </c>
      <c r="EP15" s="382">
        <v>162.69999999999999</v>
      </c>
      <c r="EQ15" s="382">
        <v>165.5</v>
      </c>
      <c r="ER15" s="382">
        <v>161.69999999999999</v>
      </c>
      <c r="ES15" s="382">
        <v>194.7</v>
      </c>
      <c r="ET15" s="382">
        <v>195.6</v>
      </c>
      <c r="EU15" s="382">
        <v>203.2</v>
      </c>
      <c r="EV15" s="382">
        <v>187.2</v>
      </c>
      <c r="EW15" s="382">
        <v>192.5</v>
      </c>
      <c r="EX15" s="382">
        <v>223.6</v>
      </c>
      <c r="EY15" s="382">
        <v>201.4</v>
      </c>
      <c r="EZ15" s="382">
        <v>196.1</v>
      </c>
      <c r="FA15" s="382">
        <v>196</v>
      </c>
      <c r="FB15" s="382">
        <v>213.4</v>
      </c>
      <c r="FC15" s="382">
        <v>166.3</v>
      </c>
      <c r="FD15" s="382">
        <v>157.9</v>
      </c>
      <c r="FE15" s="382">
        <v>159.6</v>
      </c>
      <c r="FF15" s="382">
        <v>161.19999999999999</v>
      </c>
      <c r="FG15" s="382">
        <v>167.4</v>
      </c>
      <c r="FH15" s="382">
        <v>159.30000000000001</v>
      </c>
      <c r="FI15" s="382">
        <v>169.3</v>
      </c>
      <c r="FJ15" s="382">
        <v>172.8</v>
      </c>
      <c r="FK15" s="382">
        <v>155.19999999999999</v>
      </c>
      <c r="FL15" s="382">
        <v>161.69999999999999</v>
      </c>
      <c r="FM15" s="382">
        <v>158.69999999999999</v>
      </c>
      <c r="FN15" s="382">
        <v>160.19999999999999</v>
      </c>
      <c r="FO15" s="382">
        <v>157.69999999999999</v>
      </c>
      <c r="FP15" s="382">
        <v>167.4</v>
      </c>
      <c r="FQ15" s="382">
        <v>151.19999999999999</v>
      </c>
      <c r="FR15" s="382">
        <v>161.69999999999999</v>
      </c>
      <c r="FS15" s="382">
        <v>169.4</v>
      </c>
      <c r="FT15" s="382">
        <v>159.30000000000001</v>
      </c>
      <c r="FU15" s="382">
        <v>151.5</v>
      </c>
      <c r="FV15" s="382">
        <v>164.3</v>
      </c>
      <c r="FW15" s="382">
        <v>156.1</v>
      </c>
      <c r="FX15" s="382">
        <v>155.9</v>
      </c>
      <c r="FY15" s="382">
        <v>167.7</v>
      </c>
      <c r="FZ15" s="382">
        <v>171.1</v>
      </c>
      <c r="GA15" s="382">
        <v>178.7</v>
      </c>
      <c r="GB15" s="382">
        <v>176.6</v>
      </c>
      <c r="GC15" s="382">
        <v>185</v>
      </c>
      <c r="GD15" s="382">
        <v>170</v>
      </c>
      <c r="GE15" s="382">
        <v>171.5</v>
      </c>
      <c r="GF15" s="373">
        <f t="shared" si="0"/>
        <v>170.35</v>
      </c>
      <c r="GG15" s="373">
        <f t="shared" si="1"/>
        <v>177.85</v>
      </c>
      <c r="GH15" s="382">
        <v>170.7</v>
      </c>
      <c r="GI15" s="382">
        <v>168.3</v>
      </c>
      <c r="GJ15" s="383">
        <v>203.4</v>
      </c>
      <c r="GK15" s="382">
        <v>184.3</v>
      </c>
      <c r="GL15" s="382">
        <v>199.1</v>
      </c>
      <c r="GM15" s="382">
        <v>187.2</v>
      </c>
      <c r="GN15" s="382">
        <v>193.2</v>
      </c>
      <c r="GO15" s="382">
        <v>193.9</v>
      </c>
      <c r="GP15" s="382">
        <v>201.2</v>
      </c>
      <c r="GQ15" s="382">
        <v>197.8</v>
      </c>
      <c r="GR15" s="382">
        <v>204.6</v>
      </c>
      <c r="GS15" s="382">
        <v>200.5</v>
      </c>
      <c r="GT15" s="382">
        <v>167.6</v>
      </c>
      <c r="GU15" s="382">
        <v>222.7</v>
      </c>
      <c r="GV15" s="382">
        <v>223.3</v>
      </c>
      <c r="GW15" s="382">
        <v>216</v>
      </c>
      <c r="GX15" s="382">
        <v>213.7</v>
      </c>
      <c r="GY15" s="382">
        <v>214.5</v>
      </c>
      <c r="GZ15" s="382">
        <v>214.1</v>
      </c>
      <c r="HA15" s="382">
        <v>212.6</v>
      </c>
      <c r="HB15" s="382">
        <v>220.9</v>
      </c>
      <c r="HC15" s="382">
        <v>216.2</v>
      </c>
      <c r="HD15" s="382">
        <v>200.2</v>
      </c>
    </row>
    <row r="16" spans="1:488" s="234" customFormat="1" ht="22.05" customHeight="1" x14ac:dyDescent="0.25">
      <c r="A16" s="381">
        <v>2012</v>
      </c>
      <c r="B16" s="382">
        <v>169.1</v>
      </c>
      <c r="C16" s="382">
        <v>162.69999999999999</v>
      </c>
      <c r="D16" s="382">
        <v>163.19999999999999</v>
      </c>
      <c r="E16" s="382">
        <v>153.80000000000001</v>
      </c>
      <c r="F16" s="382">
        <v>154.6</v>
      </c>
      <c r="G16" s="382">
        <v>232.5</v>
      </c>
      <c r="H16" s="382">
        <v>172.2</v>
      </c>
      <c r="I16" s="382">
        <v>166.4</v>
      </c>
      <c r="J16" s="382">
        <v>158.69999999999999</v>
      </c>
      <c r="K16" s="382">
        <v>161</v>
      </c>
      <c r="L16" s="382">
        <v>204.1</v>
      </c>
      <c r="M16" s="382">
        <v>202.9</v>
      </c>
      <c r="N16" s="382">
        <v>207.3</v>
      </c>
      <c r="O16" s="382">
        <v>207.2</v>
      </c>
      <c r="P16" s="382">
        <v>204.7</v>
      </c>
      <c r="Q16" s="382">
        <v>204.1</v>
      </c>
      <c r="R16" s="382">
        <v>211.9</v>
      </c>
      <c r="S16" s="382">
        <v>198.9</v>
      </c>
      <c r="T16" s="382">
        <v>237.3</v>
      </c>
      <c r="U16" s="382">
        <v>204.8</v>
      </c>
      <c r="V16" s="382">
        <v>208.8</v>
      </c>
      <c r="W16" s="382">
        <v>218.9</v>
      </c>
      <c r="X16" s="382">
        <v>179.4</v>
      </c>
      <c r="Y16" s="382">
        <v>182.2</v>
      </c>
      <c r="Z16" s="382">
        <v>177.9</v>
      </c>
      <c r="AA16" s="382">
        <v>213.9</v>
      </c>
      <c r="AB16" s="382">
        <v>213.3</v>
      </c>
      <c r="AC16" s="382">
        <v>214.4</v>
      </c>
      <c r="AD16" s="382">
        <v>212.9</v>
      </c>
      <c r="AE16" s="382">
        <v>214.7</v>
      </c>
      <c r="AF16" s="382">
        <v>219.8</v>
      </c>
      <c r="AG16" s="382">
        <v>220</v>
      </c>
      <c r="AH16" s="382">
        <v>213.4</v>
      </c>
      <c r="AI16" s="382">
        <v>201</v>
      </c>
      <c r="AJ16" s="382">
        <v>189.6</v>
      </c>
      <c r="AK16" s="382">
        <v>170.9</v>
      </c>
      <c r="AL16" s="382">
        <v>165.8</v>
      </c>
      <c r="AM16" s="382">
        <v>173.7</v>
      </c>
      <c r="AN16" s="382">
        <v>172.8</v>
      </c>
      <c r="AO16" s="382">
        <v>158.5</v>
      </c>
      <c r="AP16" s="382">
        <v>177.8</v>
      </c>
      <c r="AQ16" s="382">
        <v>158.30000000000001</v>
      </c>
      <c r="AR16" s="382">
        <v>170.7</v>
      </c>
      <c r="AS16" s="382">
        <v>160.6</v>
      </c>
      <c r="AT16" s="382">
        <v>159.30000000000001</v>
      </c>
      <c r="AU16" s="382">
        <v>158.9</v>
      </c>
      <c r="AV16" s="382">
        <v>227.9</v>
      </c>
      <c r="AW16" s="382">
        <v>170.4</v>
      </c>
      <c r="AX16" s="382">
        <v>171.5</v>
      </c>
      <c r="AY16" s="382">
        <v>226.2</v>
      </c>
      <c r="AZ16" s="382">
        <v>195.7</v>
      </c>
      <c r="BA16" s="382">
        <v>222.7</v>
      </c>
      <c r="BB16" s="382">
        <v>199.7</v>
      </c>
      <c r="BC16" s="382">
        <v>211.8</v>
      </c>
      <c r="BD16" s="382">
        <v>197.2</v>
      </c>
      <c r="BE16" s="382">
        <v>175.2</v>
      </c>
      <c r="BF16" s="382">
        <v>177.8</v>
      </c>
      <c r="BG16" s="382">
        <v>171.8</v>
      </c>
      <c r="BH16" s="382">
        <v>197.9</v>
      </c>
      <c r="BI16" s="382">
        <v>180.6</v>
      </c>
      <c r="BJ16" s="382">
        <v>175.8</v>
      </c>
      <c r="BK16" s="382">
        <v>174.3</v>
      </c>
      <c r="BL16" s="382">
        <v>178.9</v>
      </c>
      <c r="BM16" s="382">
        <v>180.3</v>
      </c>
      <c r="BN16" s="382">
        <v>184.6</v>
      </c>
      <c r="BO16" s="382">
        <v>179.2</v>
      </c>
      <c r="BP16" s="382">
        <v>168.8</v>
      </c>
      <c r="BQ16" s="382">
        <v>169.2</v>
      </c>
      <c r="BR16" s="382">
        <v>162.30000000000001</v>
      </c>
      <c r="BS16" s="382">
        <v>161.4</v>
      </c>
      <c r="BT16" s="382">
        <v>174.8</v>
      </c>
      <c r="BU16" s="382">
        <v>177.5</v>
      </c>
      <c r="BV16" s="382">
        <v>164.4</v>
      </c>
      <c r="BW16" s="382">
        <v>163.80000000000001</v>
      </c>
      <c r="BX16" s="382">
        <v>171.7</v>
      </c>
      <c r="BY16" s="382">
        <v>153.19999999999999</v>
      </c>
      <c r="BZ16" s="382">
        <v>180.7</v>
      </c>
      <c r="CA16" s="382">
        <v>182.4</v>
      </c>
      <c r="CB16" s="382">
        <v>180.8</v>
      </c>
      <c r="CC16" s="382">
        <v>229.3</v>
      </c>
      <c r="CD16" s="382">
        <v>217.2</v>
      </c>
      <c r="CE16" s="382">
        <v>217.8</v>
      </c>
      <c r="CF16" s="382">
        <v>221.6</v>
      </c>
      <c r="CG16" s="382">
        <v>219.3</v>
      </c>
      <c r="CH16" s="382">
        <v>217</v>
      </c>
      <c r="CI16" s="382">
        <v>200.2</v>
      </c>
      <c r="CJ16" s="382">
        <v>201.9</v>
      </c>
      <c r="CK16" s="382">
        <v>215.2</v>
      </c>
      <c r="CL16" s="382">
        <v>196.1</v>
      </c>
      <c r="CM16" s="382">
        <v>199.2</v>
      </c>
      <c r="CN16" s="382">
        <v>200.2</v>
      </c>
      <c r="CO16" s="382">
        <v>186.3</v>
      </c>
      <c r="CP16" s="382">
        <v>176.4</v>
      </c>
      <c r="CQ16" s="382">
        <v>178.9</v>
      </c>
      <c r="CR16" s="382">
        <v>185.9</v>
      </c>
      <c r="CS16" s="382">
        <v>182.8</v>
      </c>
      <c r="CT16" s="382">
        <v>203.1</v>
      </c>
      <c r="CU16" s="382">
        <v>214.7</v>
      </c>
      <c r="CV16" s="382">
        <v>199.7</v>
      </c>
      <c r="CW16" s="382">
        <v>157.6</v>
      </c>
      <c r="CX16" s="382">
        <v>160.5</v>
      </c>
      <c r="CY16" s="382">
        <v>200.8</v>
      </c>
      <c r="CZ16" s="382">
        <v>189</v>
      </c>
      <c r="DA16" s="382">
        <v>198</v>
      </c>
      <c r="DB16" s="382">
        <v>177.7</v>
      </c>
      <c r="DC16" s="382">
        <v>178.6</v>
      </c>
      <c r="DD16" s="382">
        <v>179.6</v>
      </c>
      <c r="DE16" s="382">
        <v>169.3</v>
      </c>
      <c r="DF16" s="382">
        <v>177.1</v>
      </c>
      <c r="DG16" s="382">
        <v>202.6</v>
      </c>
      <c r="DH16" s="382">
        <v>186.8</v>
      </c>
      <c r="DI16" s="382">
        <v>189.2</v>
      </c>
      <c r="DJ16" s="382">
        <v>188.3</v>
      </c>
      <c r="DK16" s="382">
        <v>213.6</v>
      </c>
      <c r="DL16" s="382">
        <v>215.2</v>
      </c>
      <c r="DM16" s="382">
        <v>219.2</v>
      </c>
      <c r="DN16" s="382">
        <v>217.5</v>
      </c>
      <c r="DO16" s="382">
        <v>213.7</v>
      </c>
      <c r="DP16" s="382">
        <v>171</v>
      </c>
      <c r="DQ16" s="382">
        <v>191.2</v>
      </c>
      <c r="DR16" s="382">
        <v>192.9</v>
      </c>
      <c r="DS16" s="382">
        <v>198.1</v>
      </c>
      <c r="DT16" s="382">
        <v>256.3</v>
      </c>
      <c r="DU16" s="382">
        <v>191.2</v>
      </c>
      <c r="DV16" s="382">
        <v>191.4</v>
      </c>
      <c r="DW16" s="382">
        <v>189.6</v>
      </c>
      <c r="DX16" s="382">
        <v>185.2</v>
      </c>
      <c r="DY16" s="382">
        <v>227.1</v>
      </c>
      <c r="DZ16" s="382">
        <v>156.4</v>
      </c>
      <c r="EA16" s="382">
        <v>155.6</v>
      </c>
      <c r="EB16" s="382">
        <v>156.30000000000001</v>
      </c>
      <c r="EC16" s="382">
        <v>155.4</v>
      </c>
      <c r="ED16" s="382">
        <v>157.19999999999999</v>
      </c>
      <c r="EE16" s="382">
        <v>167.3</v>
      </c>
      <c r="EF16" s="382">
        <v>187.7</v>
      </c>
      <c r="EG16" s="382">
        <v>180.2</v>
      </c>
      <c r="EH16" s="382">
        <v>178.6</v>
      </c>
      <c r="EI16" s="382">
        <v>191.4</v>
      </c>
      <c r="EJ16" s="382">
        <v>183.5</v>
      </c>
      <c r="EK16" s="382">
        <v>177.6</v>
      </c>
      <c r="EL16" s="382">
        <v>184.1</v>
      </c>
      <c r="EM16" s="382">
        <v>178</v>
      </c>
      <c r="EN16" s="382">
        <v>190.4</v>
      </c>
      <c r="EO16" s="382">
        <v>183.3</v>
      </c>
      <c r="EP16" s="382">
        <v>158.1</v>
      </c>
      <c r="EQ16" s="382">
        <v>158</v>
      </c>
      <c r="ER16" s="382">
        <v>151.30000000000001</v>
      </c>
      <c r="ES16" s="382">
        <v>190.1</v>
      </c>
      <c r="ET16" s="382">
        <v>191.8</v>
      </c>
      <c r="EU16" s="382">
        <v>199.3</v>
      </c>
      <c r="EV16" s="382">
        <v>182</v>
      </c>
      <c r="EW16" s="382">
        <v>187.9</v>
      </c>
      <c r="EX16" s="382">
        <v>221.8</v>
      </c>
      <c r="EY16" s="382">
        <v>196.8</v>
      </c>
      <c r="EZ16" s="382">
        <v>190.8</v>
      </c>
      <c r="FA16" s="382">
        <v>191.5</v>
      </c>
      <c r="FB16" s="382">
        <v>209.3</v>
      </c>
      <c r="FC16" s="382">
        <v>155.30000000000001</v>
      </c>
      <c r="FD16" s="382">
        <v>148.1</v>
      </c>
      <c r="FE16" s="382">
        <v>156.69999999999999</v>
      </c>
      <c r="FF16" s="382">
        <v>158.80000000000001</v>
      </c>
      <c r="FG16" s="382">
        <v>163.80000000000001</v>
      </c>
      <c r="FH16" s="382">
        <v>155.80000000000001</v>
      </c>
      <c r="FI16" s="382">
        <v>166.3</v>
      </c>
      <c r="FJ16" s="382">
        <v>167.5</v>
      </c>
      <c r="FK16" s="382">
        <v>152.5</v>
      </c>
      <c r="FL16" s="382">
        <v>158.6</v>
      </c>
      <c r="FM16" s="382">
        <v>154.30000000000001</v>
      </c>
      <c r="FN16" s="382">
        <v>158.19999999999999</v>
      </c>
      <c r="FO16" s="382">
        <v>151.80000000000001</v>
      </c>
      <c r="FP16" s="382">
        <v>165.2</v>
      </c>
      <c r="FQ16" s="382">
        <v>149.1</v>
      </c>
      <c r="FR16" s="382">
        <v>159.4</v>
      </c>
      <c r="FS16" s="382">
        <v>167.8</v>
      </c>
      <c r="FT16" s="382">
        <v>156.6</v>
      </c>
      <c r="FU16" s="382">
        <v>149.1</v>
      </c>
      <c r="FV16" s="382">
        <v>160.69999999999999</v>
      </c>
      <c r="FW16" s="382">
        <v>153.80000000000001</v>
      </c>
      <c r="FX16" s="382">
        <v>152.9</v>
      </c>
      <c r="FY16" s="382">
        <v>165.6</v>
      </c>
      <c r="FZ16" s="382">
        <v>168.8</v>
      </c>
      <c r="GA16" s="382">
        <v>172.4</v>
      </c>
      <c r="GB16" s="382">
        <v>170.5</v>
      </c>
      <c r="GC16" s="382">
        <v>182.4</v>
      </c>
      <c r="GD16" s="382">
        <v>168.3</v>
      </c>
      <c r="GE16" s="382">
        <v>169.7</v>
      </c>
      <c r="GF16" s="373">
        <f t="shared" si="0"/>
        <v>168.85000000000002</v>
      </c>
      <c r="GG16" s="373">
        <f t="shared" si="1"/>
        <v>175.9</v>
      </c>
      <c r="GH16" s="382">
        <v>169.4</v>
      </c>
      <c r="GI16" s="382">
        <v>166.4</v>
      </c>
      <c r="GJ16" s="382">
        <v>201.9</v>
      </c>
      <c r="GK16" s="382">
        <v>181.6</v>
      </c>
      <c r="GL16" s="382">
        <v>194.3</v>
      </c>
      <c r="GM16" s="382">
        <v>183.4</v>
      </c>
      <c r="GN16" s="382">
        <v>186.4</v>
      </c>
      <c r="GO16" s="382">
        <v>190</v>
      </c>
      <c r="GP16" s="382">
        <v>195.5</v>
      </c>
      <c r="GQ16" s="382">
        <v>191.2</v>
      </c>
      <c r="GR16" s="382">
        <v>202.2</v>
      </c>
      <c r="GS16" s="382">
        <v>194.9</v>
      </c>
      <c r="GT16" s="382">
        <v>165</v>
      </c>
      <c r="GU16" s="382">
        <v>219.1</v>
      </c>
      <c r="GV16" s="382">
        <v>219.6</v>
      </c>
      <c r="GW16" s="382">
        <v>211.1</v>
      </c>
      <c r="GX16" s="382">
        <v>208.2</v>
      </c>
      <c r="GY16" s="382">
        <v>209.6</v>
      </c>
      <c r="GZ16" s="382">
        <v>209.7</v>
      </c>
      <c r="HA16" s="382">
        <v>207.5</v>
      </c>
      <c r="HB16" s="382">
        <v>216.6</v>
      </c>
      <c r="HC16" s="382">
        <v>214</v>
      </c>
      <c r="HD16" s="382">
        <v>200.7</v>
      </c>
    </row>
    <row r="17" spans="1:212" s="234" customFormat="1" ht="22.05" customHeight="1" x14ac:dyDescent="0.25">
      <c r="A17" s="381">
        <v>2011</v>
      </c>
      <c r="B17" s="382">
        <v>163</v>
      </c>
      <c r="C17" s="382">
        <v>156.30000000000001</v>
      </c>
      <c r="D17" s="382">
        <v>156.9</v>
      </c>
      <c r="E17" s="382">
        <v>147.6</v>
      </c>
      <c r="F17" s="382">
        <v>148.30000000000001</v>
      </c>
      <c r="G17" s="382">
        <v>225.1</v>
      </c>
      <c r="H17" s="382">
        <v>163.80000000000001</v>
      </c>
      <c r="I17" s="382">
        <v>159.5</v>
      </c>
      <c r="J17" s="382">
        <v>152</v>
      </c>
      <c r="K17" s="382">
        <v>154.1</v>
      </c>
      <c r="L17" s="382">
        <v>196.1</v>
      </c>
      <c r="M17" s="382">
        <v>194.6</v>
      </c>
      <c r="N17" s="382">
        <v>199.8</v>
      </c>
      <c r="O17" s="382">
        <v>199.2</v>
      </c>
      <c r="P17" s="382">
        <v>197</v>
      </c>
      <c r="Q17" s="382">
        <v>195.8</v>
      </c>
      <c r="R17" s="382">
        <v>203.1</v>
      </c>
      <c r="S17" s="382">
        <v>192.3</v>
      </c>
      <c r="T17" s="382">
        <v>227.9</v>
      </c>
      <c r="U17" s="382">
        <v>196.2</v>
      </c>
      <c r="V17" s="382">
        <v>201.3</v>
      </c>
      <c r="W17" s="382">
        <v>210.3</v>
      </c>
      <c r="X17" s="382">
        <v>171.7</v>
      </c>
      <c r="Y17" s="382">
        <v>174.1</v>
      </c>
      <c r="Z17" s="382">
        <v>170.7</v>
      </c>
      <c r="AA17" s="382">
        <v>205.2</v>
      </c>
      <c r="AB17" s="382">
        <v>204.2</v>
      </c>
      <c r="AC17" s="382">
        <v>205.1</v>
      </c>
      <c r="AD17" s="382">
        <v>203.9</v>
      </c>
      <c r="AE17" s="382">
        <v>205.8</v>
      </c>
      <c r="AF17" s="382">
        <v>211</v>
      </c>
      <c r="AG17" s="382">
        <v>211.2</v>
      </c>
      <c r="AH17" s="382">
        <v>204.6</v>
      </c>
      <c r="AI17" s="382">
        <v>193.3</v>
      </c>
      <c r="AJ17" s="382">
        <v>182.3</v>
      </c>
      <c r="AK17" s="382">
        <v>164.4</v>
      </c>
      <c r="AL17" s="382">
        <v>159.4</v>
      </c>
      <c r="AM17" s="382">
        <v>167</v>
      </c>
      <c r="AN17" s="382">
        <v>166.1</v>
      </c>
      <c r="AO17" s="382">
        <v>151.69999999999999</v>
      </c>
      <c r="AP17" s="382">
        <v>171.4</v>
      </c>
      <c r="AQ17" s="382">
        <v>151.80000000000001</v>
      </c>
      <c r="AR17" s="382">
        <v>164</v>
      </c>
      <c r="AS17" s="382">
        <v>154.30000000000001</v>
      </c>
      <c r="AT17" s="382">
        <v>152.69999999999999</v>
      </c>
      <c r="AU17" s="382">
        <v>151.69999999999999</v>
      </c>
      <c r="AV17" s="382">
        <v>219</v>
      </c>
      <c r="AW17" s="382">
        <v>162.80000000000001</v>
      </c>
      <c r="AX17" s="382">
        <v>163.6</v>
      </c>
      <c r="AY17" s="382">
        <v>217.6</v>
      </c>
      <c r="AZ17" s="382">
        <v>187.9</v>
      </c>
      <c r="BA17" s="382">
        <v>216.8</v>
      </c>
      <c r="BB17" s="382">
        <v>193.4</v>
      </c>
      <c r="BC17" s="382">
        <v>205.8</v>
      </c>
      <c r="BD17" s="382">
        <v>189.4</v>
      </c>
      <c r="BE17" s="382">
        <v>168.4</v>
      </c>
      <c r="BF17" s="382">
        <v>169.7</v>
      </c>
      <c r="BG17" s="382">
        <v>165</v>
      </c>
      <c r="BH17" s="382">
        <v>191</v>
      </c>
      <c r="BI17" s="382">
        <v>173</v>
      </c>
      <c r="BJ17" s="382">
        <v>169.2</v>
      </c>
      <c r="BK17" s="382">
        <v>168.1</v>
      </c>
      <c r="BL17" s="382">
        <v>171.3</v>
      </c>
      <c r="BM17" s="382">
        <v>173.8</v>
      </c>
      <c r="BN17" s="382">
        <v>178.1</v>
      </c>
      <c r="BO17" s="382">
        <v>172.7</v>
      </c>
      <c r="BP17" s="382">
        <v>162.30000000000001</v>
      </c>
      <c r="BQ17" s="382">
        <v>162.80000000000001</v>
      </c>
      <c r="BR17" s="382">
        <v>156.30000000000001</v>
      </c>
      <c r="BS17" s="382">
        <v>155.30000000000001</v>
      </c>
      <c r="BT17" s="382">
        <v>167.8</v>
      </c>
      <c r="BU17" s="382">
        <v>170.8</v>
      </c>
      <c r="BV17" s="382">
        <v>156.9</v>
      </c>
      <c r="BW17" s="382">
        <v>156.5</v>
      </c>
      <c r="BX17" s="382">
        <v>162.1</v>
      </c>
      <c r="BY17" s="382">
        <v>146.69999999999999</v>
      </c>
      <c r="BZ17" s="382">
        <v>167.4</v>
      </c>
      <c r="CA17" s="382">
        <v>169.1</v>
      </c>
      <c r="CB17" s="382">
        <v>173.6</v>
      </c>
      <c r="CC17" s="382">
        <v>219.3</v>
      </c>
      <c r="CD17" s="382">
        <v>208.6</v>
      </c>
      <c r="CE17" s="382">
        <v>206</v>
      </c>
      <c r="CF17" s="382">
        <v>211.6</v>
      </c>
      <c r="CG17" s="382">
        <v>210.1</v>
      </c>
      <c r="CH17" s="382">
        <v>205.2</v>
      </c>
      <c r="CI17" s="382">
        <v>191.2</v>
      </c>
      <c r="CJ17" s="382">
        <v>194.5</v>
      </c>
      <c r="CK17" s="382">
        <v>206.6</v>
      </c>
      <c r="CL17" s="382">
        <v>186.7</v>
      </c>
      <c r="CM17" s="382">
        <v>189.4</v>
      </c>
      <c r="CN17" s="382">
        <v>190.3</v>
      </c>
      <c r="CO17" s="382">
        <v>178.5</v>
      </c>
      <c r="CP17" s="382">
        <v>169.9</v>
      </c>
      <c r="CQ17" s="382">
        <v>171.9</v>
      </c>
      <c r="CR17" s="382">
        <v>178</v>
      </c>
      <c r="CS17" s="382">
        <v>174.6</v>
      </c>
      <c r="CT17" s="382">
        <v>195.7</v>
      </c>
      <c r="CU17" s="382">
        <v>208.1</v>
      </c>
      <c r="CV17" s="382">
        <v>193.8</v>
      </c>
      <c r="CW17" s="382">
        <v>151.4</v>
      </c>
      <c r="CX17" s="382">
        <v>154.30000000000001</v>
      </c>
      <c r="CY17" s="382">
        <v>191.1</v>
      </c>
      <c r="CZ17" s="382">
        <v>178.8</v>
      </c>
      <c r="DA17" s="382">
        <v>190.6</v>
      </c>
      <c r="DB17" s="382">
        <v>168.3</v>
      </c>
      <c r="DC17" s="382">
        <v>168.8</v>
      </c>
      <c r="DD17" s="382">
        <v>170.8</v>
      </c>
      <c r="DE17" s="382">
        <v>162.80000000000001</v>
      </c>
      <c r="DF17" s="382">
        <v>169.6</v>
      </c>
      <c r="DG17" s="382">
        <v>195.7</v>
      </c>
      <c r="DH17" s="382">
        <v>179.8</v>
      </c>
      <c r="DI17" s="382">
        <v>176.8</v>
      </c>
      <c r="DJ17" s="382">
        <v>176.1</v>
      </c>
      <c r="DK17" s="382">
        <v>205.5</v>
      </c>
      <c r="DL17" s="382">
        <v>207</v>
      </c>
      <c r="DM17" s="382">
        <v>210.3</v>
      </c>
      <c r="DN17" s="382">
        <v>209.2</v>
      </c>
      <c r="DO17" s="382">
        <v>206.4</v>
      </c>
      <c r="DP17" s="382">
        <v>163.30000000000001</v>
      </c>
      <c r="DQ17" s="382">
        <v>180.9</v>
      </c>
      <c r="DR17" s="382">
        <v>176.1</v>
      </c>
      <c r="DS17" s="382">
        <v>188.1</v>
      </c>
      <c r="DT17" s="382">
        <v>245.6</v>
      </c>
      <c r="DU17" s="382">
        <v>181.9</v>
      </c>
      <c r="DV17" s="382">
        <v>181.5</v>
      </c>
      <c r="DW17" s="382">
        <v>180.8</v>
      </c>
      <c r="DX17" s="382">
        <v>173.5</v>
      </c>
      <c r="DY17" s="382">
        <v>218.9</v>
      </c>
      <c r="DZ17" s="382">
        <v>142.6</v>
      </c>
      <c r="EA17" s="382">
        <v>143.80000000000001</v>
      </c>
      <c r="EB17" s="382">
        <v>142.19999999999999</v>
      </c>
      <c r="EC17" s="382">
        <v>142.80000000000001</v>
      </c>
      <c r="ED17" s="382">
        <v>140.9</v>
      </c>
      <c r="EE17" s="382">
        <v>160.30000000000001</v>
      </c>
      <c r="EF17" s="382">
        <v>180.8</v>
      </c>
      <c r="EG17" s="382">
        <v>172.1</v>
      </c>
      <c r="EH17" s="382">
        <v>171.3</v>
      </c>
      <c r="EI17" s="382">
        <v>184</v>
      </c>
      <c r="EJ17" s="382">
        <v>175.7</v>
      </c>
      <c r="EK17" s="382">
        <v>168.4</v>
      </c>
      <c r="EL17" s="382">
        <v>176.8</v>
      </c>
      <c r="EM17" s="382">
        <v>168.4</v>
      </c>
      <c r="EN17" s="382">
        <v>183.1</v>
      </c>
      <c r="EO17" s="382">
        <v>176.5</v>
      </c>
      <c r="EP17" s="382">
        <v>151.69999999999999</v>
      </c>
      <c r="EQ17" s="382">
        <v>151.6</v>
      </c>
      <c r="ER17" s="382">
        <v>144.80000000000001</v>
      </c>
      <c r="ES17" s="382">
        <v>184.9</v>
      </c>
      <c r="ET17" s="382">
        <v>186.6</v>
      </c>
      <c r="EU17" s="382">
        <v>192.2</v>
      </c>
      <c r="EV17" s="382">
        <v>176</v>
      </c>
      <c r="EW17" s="382">
        <v>180.9</v>
      </c>
      <c r="EX17" s="382">
        <v>212.8</v>
      </c>
      <c r="EY17" s="382">
        <v>187.7</v>
      </c>
      <c r="EZ17" s="382">
        <v>184.3</v>
      </c>
      <c r="FA17" s="382">
        <v>185.3</v>
      </c>
      <c r="FB17" s="382">
        <v>196.8</v>
      </c>
      <c r="FC17" s="382">
        <v>149.4</v>
      </c>
      <c r="FD17" s="382">
        <v>142.30000000000001</v>
      </c>
      <c r="FE17" s="382">
        <v>149.5</v>
      </c>
      <c r="FF17" s="382">
        <v>151.30000000000001</v>
      </c>
      <c r="FG17" s="382">
        <v>157.30000000000001</v>
      </c>
      <c r="FH17" s="382">
        <v>149.30000000000001</v>
      </c>
      <c r="FI17" s="382">
        <v>158.4</v>
      </c>
      <c r="FJ17" s="382">
        <v>160.69999999999999</v>
      </c>
      <c r="FK17" s="382">
        <v>145.9</v>
      </c>
      <c r="FL17" s="382">
        <v>151.9</v>
      </c>
      <c r="FM17" s="382">
        <v>147.6</v>
      </c>
      <c r="FN17" s="382">
        <v>152.4</v>
      </c>
      <c r="FO17" s="382">
        <v>145</v>
      </c>
      <c r="FP17" s="382">
        <v>157.9</v>
      </c>
      <c r="FQ17" s="382">
        <v>142.5</v>
      </c>
      <c r="FR17" s="382">
        <v>152.80000000000001</v>
      </c>
      <c r="FS17" s="382">
        <v>160.80000000000001</v>
      </c>
      <c r="FT17" s="382">
        <v>150</v>
      </c>
      <c r="FU17" s="382">
        <v>142.5</v>
      </c>
      <c r="FV17" s="382">
        <v>152.6</v>
      </c>
      <c r="FW17" s="382">
        <v>147.30000000000001</v>
      </c>
      <c r="FX17" s="382">
        <v>146.6</v>
      </c>
      <c r="FY17" s="382">
        <v>158.69999999999999</v>
      </c>
      <c r="FZ17" s="382">
        <v>161.80000000000001</v>
      </c>
      <c r="GA17" s="382">
        <v>158.80000000000001</v>
      </c>
      <c r="GB17" s="382">
        <v>157.1</v>
      </c>
      <c r="GC17" s="382">
        <v>174.5</v>
      </c>
      <c r="GD17" s="382">
        <v>159.80000000000001</v>
      </c>
      <c r="GE17" s="382">
        <v>161.1</v>
      </c>
      <c r="GF17" s="373">
        <f t="shared" si="0"/>
        <v>159.4</v>
      </c>
      <c r="GG17" s="373">
        <f t="shared" si="1"/>
        <v>166.75</v>
      </c>
      <c r="GH17" s="382">
        <v>159</v>
      </c>
      <c r="GI17" s="382">
        <v>154.19999999999999</v>
      </c>
      <c r="GJ17" s="382">
        <v>194.1</v>
      </c>
      <c r="GK17" s="382">
        <v>175.5</v>
      </c>
      <c r="GL17" s="382">
        <v>187.6</v>
      </c>
      <c r="GM17" s="382">
        <v>177.5</v>
      </c>
      <c r="GN17" s="382">
        <v>180.3</v>
      </c>
      <c r="GO17" s="382">
        <v>181.4</v>
      </c>
      <c r="GP17" s="382">
        <v>187.6</v>
      </c>
      <c r="GQ17" s="382">
        <v>183.4</v>
      </c>
      <c r="GR17" s="382">
        <v>191.9</v>
      </c>
      <c r="GS17" s="382">
        <v>187</v>
      </c>
      <c r="GT17" s="382">
        <v>155.30000000000001</v>
      </c>
      <c r="GU17" s="382">
        <v>212.6</v>
      </c>
      <c r="GV17" s="382">
        <v>212.4</v>
      </c>
      <c r="GW17" s="382">
        <v>204.2</v>
      </c>
      <c r="GX17" s="382">
        <v>200.1</v>
      </c>
      <c r="GY17" s="382">
        <v>202.1</v>
      </c>
      <c r="GZ17" s="382">
        <v>202</v>
      </c>
      <c r="HA17" s="382">
        <v>200.6</v>
      </c>
      <c r="HB17" s="382">
        <v>209.6</v>
      </c>
      <c r="HC17" s="382">
        <v>207.1</v>
      </c>
      <c r="HD17" s="382">
        <v>192.6</v>
      </c>
    </row>
    <row r="18" spans="1:212" s="234" customFormat="1" ht="22.05" customHeight="1" x14ac:dyDescent="0.25">
      <c r="A18" s="381">
        <v>2010</v>
      </c>
      <c r="B18" s="382">
        <v>159.6</v>
      </c>
      <c r="C18" s="382">
        <v>152.9</v>
      </c>
      <c r="D18" s="382">
        <v>153.1</v>
      </c>
      <c r="E18" s="382">
        <v>144.4</v>
      </c>
      <c r="F18" s="382">
        <v>144.9</v>
      </c>
      <c r="G18" s="382">
        <v>218.3</v>
      </c>
      <c r="H18" s="382">
        <v>160.69999999999999</v>
      </c>
      <c r="I18" s="382">
        <v>157.30000000000001</v>
      </c>
      <c r="J18" s="382">
        <v>150.30000000000001</v>
      </c>
      <c r="K18" s="382">
        <v>152.5</v>
      </c>
      <c r="L18" s="382">
        <v>192.8</v>
      </c>
      <c r="M18" s="382">
        <v>190.8</v>
      </c>
      <c r="N18" s="382">
        <v>195</v>
      </c>
      <c r="O18" s="382">
        <v>194.9</v>
      </c>
      <c r="P18" s="382">
        <v>192.8</v>
      </c>
      <c r="Q18" s="382">
        <v>192.7</v>
      </c>
      <c r="R18" s="382">
        <v>196.7</v>
      </c>
      <c r="S18" s="382">
        <v>188.2</v>
      </c>
      <c r="T18" s="382">
        <v>223</v>
      </c>
      <c r="U18" s="382">
        <v>192.9</v>
      </c>
      <c r="V18" s="382">
        <v>195.9</v>
      </c>
      <c r="W18" s="382">
        <v>204.6</v>
      </c>
      <c r="X18" s="382">
        <v>170.5</v>
      </c>
      <c r="Y18" s="382">
        <v>172.6</v>
      </c>
      <c r="Z18" s="382">
        <v>168.1</v>
      </c>
      <c r="AA18" s="382">
        <v>198.8</v>
      </c>
      <c r="AB18" s="382">
        <v>199.1</v>
      </c>
      <c r="AC18" s="382">
        <v>199.8</v>
      </c>
      <c r="AD18" s="382">
        <v>198.8</v>
      </c>
      <c r="AE18" s="382">
        <v>200.7</v>
      </c>
      <c r="AF18" s="382">
        <v>198.3</v>
      </c>
      <c r="AG18" s="382">
        <v>203.8</v>
      </c>
      <c r="AH18" s="382">
        <v>199.4</v>
      </c>
      <c r="AI18" s="382">
        <v>187.7</v>
      </c>
      <c r="AJ18" s="382">
        <v>179</v>
      </c>
      <c r="AK18" s="382">
        <v>160.30000000000001</v>
      </c>
      <c r="AL18" s="382">
        <v>155.4</v>
      </c>
      <c r="AM18" s="382">
        <v>163.30000000000001</v>
      </c>
      <c r="AN18" s="382">
        <v>162.5</v>
      </c>
      <c r="AO18" s="382">
        <v>148.1</v>
      </c>
      <c r="AP18" s="382">
        <v>167.5</v>
      </c>
      <c r="AQ18" s="382">
        <v>148.30000000000001</v>
      </c>
      <c r="AR18" s="382">
        <v>160.1</v>
      </c>
      <c r="AS18" s="382">
        <v>150.9</v>
      </c>
      <c r="AT18" s="382">
        <v>149.4</v>
      </c>
      <c r="AU18" s="382">
        <v>147.9</v>
      </c>
      <c r="AV18" s="382">
        <v>214.6</v>
      </c>
      <c r="AW18" s="382">
        <v>161.69999999999999</v>
      </c>
      <c r="AX18" s="382">
        <v>162.4</v>
      </c>
      <c r="AY18" s="382">
        <v>210.6</v>
      </c>
      <c r="AZ18" s="382">
        <v>181.2</v>
      </c>
      <c r="BA18" s="382">
        <v>208.3</v>
      </c>
      <c r="BB18" s="382">
        <v>186.2</v>
      </c>
      <c r="BC18" s="382">
        <v>197.6</v>
      </c>
      <c r="BD18" s="382">
        <v>182.2</v>
      </c>
      <c r="BE18" s="382">
        <v>162.80000000000001</v>
      </c>
      <c r="BF18" s="382">
        <v>165.9</v>
      </c>
      <c r="BG18" s="382">
        <v>160</v>
      </c>
      <c r="BH18" s="382">
        <v>183.7</v>
      </c>
      <c r="BI18" s="382">
        <v>168.1</v>
      </c>
      <c r="BJ18" s="382">
        <v>163.1</v>
      </c>
      <c r="BK18" s="382">
        <v>163.5</v>
      </c>
      <c r="BL18" s="382">
        <v>167.8</v>
      </c>
      <c r="BM18" s="382">
        <v>170.4</v>
      </c>
      <c r="BN18" s="382">
        <v>175.6</v>
      </c>
      <c r="BO18" s="382">
        <v>170.2</v>
      </c>
      <c r="BP18" s="382">
        <v>159</v>
      </c>
      <c r="BQ18" s="382">
        <v>160.19999999999999</v>
      </c>
      <c r="BR18" s="382">
        <v>152.80000000000001</v>
      </c>
      <c r="BS18" s="382">
        <v>151.30000000000001</v>
      </c>
      <c r="BT18" s="382">
        <v>158.69999999999999</v>
      </c>
      <c r="BU18" s="382">
        <v>166.9</v>
      </c>
      <c r="BV18" s="382">
        <v>153.69999999999999</v>
      </c>
      <c r="BW18" s="382">
        <v>153.4</v>
      </c>
      <c r="BX18" s="382">
        <v>160.30000000000001</v>
      </c>
      <c r="BY18" s="382">
        <v>145.1</v>
      </c>
      <c r="BZ18" s="382">
        <v>162.1</v>
      </c>
      <c r="CA18" s="382">
        <v>163.69999999999999</v>
      </c>
      <c r="CB18" s="382">
        <v>168.3</v>
      </c>
      <c r="CC18" s="382">
        <v>214.3</v>
      </c>
      <c r="CD18" s="382">
        <v>202.7</v>
      </c>
      <c r="CE18" s="382">
        <v>200.7</v>
      </c>
      <c r="CF18" s="382">
        <v>204.9</v>
      </c>
      <c r="CG18" s="382">
        <v>204.7</v>
      </c>
      <c r="CH18" s="382">
        <v>200</v>
      </c>
      <c r="CI18" s="382">
        <v>185.9</v>
      </c>
      <c r="CJ18" s="382">
        <v>189.4</v>
      </c>
      <c r="CK18" s="382">
        <v>201.1</v>
      </c>
      <c r="CL18" s="382">
        <v>183.3</v>
      </c>
      <c r="CM18" s="382">
        <v>186.8</v>
      </c>
      <c r="CN18" s="382">
        <v>187.5</v>
      </c>
      <c r="CO18" s="382">
        <v>176.2</v>
      </c>
      <c r="CP18" s="382">
        <v>160.6</v>
      </c>
      <c r="CQ18" s="382">
        <v>167.3</v>
      </c>
      <c r="CR18" s="382">
        <v>175.8</v>
      </c>
      <c r="CS18" s="382">
        <v>171.9</v>
      </c>
      <c r="CT18" s="382">
        <v>193.1</v>
      </c>
      <c r="CU18" s="382">
        <v>203.8</v>
      </c>
      <c r="CV18" s="382">
        <v>188.9</v>
      </c>
      <c r="CW18" s="382">
        <v>148</v>
      </c>
      <c r="CX18" s="382">
        <v>151</v>
      </c>
      <c r="CY18" s="382">
        <v>186.1</v>
      </c>
      <c r="CZ18" s="382">
        <v>174.2</v>
      </c>
      <c r="DA18" s="382">
        <v>185.9</v>
      </c>
      <c r="DB18" s="382">
        <v>164.3</v>
      </c>
      <c r="DC18" s="382">
        <v>166.5</v>
      </c>
      <c r="DD18" s="382">
        <v>168.6</v>
      </c>
      <c r="DE18" s="382">
        <v>159.30000000000001</v>
      </c>
      <c r="DF18" s="382">
        <v>165.8</v>
      </c>
      <c r="DG18" s="382">
        <v>193.7</v>
      </c>
      <c r="DH18" s="382">
        <v>175.6</v>
      </c>
      <c r="DI18" s="382">
        <v>172.5</v>
      </c>
      <c r="DJ18" s="382">
        <v>172</v>
      </c>
      <c r="DK18" s="382">
        <v>201.2</v>
      </c>
      <c r="DL18" s="382">
        <v>203.3</v>
      </c>
      <c r="DM18" s="382">
        <v>206.3</v>
      </c>
      <c r="DN18" s="382">
        <v>205.3</v>
      </c>
      <c r="DO18" s="382">
        <v>200.8</v>
      </c>
      <c r="DP18" s="382">
        <v>162.5</v>
      </c>
      <c r="DQ18" s="382">
        <v>177.8</v>
      </c>
      <c r="DR18" s="382">
        <v>173.8</v>
      </c>
      <c r="DS18" s="382">
        <v>184</v>
      </c>
      <c r="DT18" s="382">
        <v>241.4</v>
      </c>
      <c r="DU18" s="382">
        <v>179.6</v>
      </c>
      <c r="DV18" s="382">
        <v>179</v>
      </c>
      <c r="DW18" s="382">
        <v>176.7</v>
      </c>
      <c r="DX18" s="382">
        <v>170.5</v>
      </c>
      <c r="DY18" s="382">
        <v>217.1</v>
      </c>
      <c r="DZ18" s="382">
        <v>140.5</v>
      </c>
      <c r="EA18" s="382">
        <v>141.6</v>
      </c>
      <c r="EB18" s="382">
        <v>140</v>
      </c>
      <c r="EC18" s="382">
        <v>140.6</v>
      </c>
      <c r="ED18" s="382">
        <v>138.80000000000001</v>
      </c>
      <c r="EE18" s="382">
        <v>156.19999999999999</v>
      </c>
      <c r="EF18" s="382">
        <v>174.5</v>
      </c>
      <c r="EG18" s="382">
        <v>167.5</v>
      </c>
      <c r="EH18" s="382">
        <v>166.5</v>
      </c>
      <c r="EI18" s="382">
        <v>180.2</v>
      </c>
      <c r="EJ18" s="382">
        <v>170.3</v>
      </c>
      <c r="EK18" s="382">
        <v>163.4</v>
      </c>
      <c r="EL18" s="382">
        <v>173</v>
      </c>
      <c r="EM18" s="382">
        <v>164.6</v>
      </c>
      <c r="EN18" s="382">
        <v>176.5</v>
      </c>
      <c r="EO18" s="382">
        <v>171.7</v>
      </c>
      <c r="EP18" s="382">
        <v>149.5</v>
      </c>
      <c r="EQ18" s="382">
        <v>149.4</v>
      </c>
      <c r="ER18" s="382">
        <v>143.1</v>
      </c>
      <c r="ES18" s="382">
        <v>181.5</v>
      </c>
      <c r="ET18" s="382">
        <v>182.9</v>
      </c>
      <c r="EU18" s="382">
        <v>187.9</v>
      </c>
      <c r="EV18" s="382">
        <v>171</v>
      </c>
      <c r="EW18" s="382">
        <v>175.2</v>
      </c>
      <c r="EX18" s="382">
        <v>209.3</v>
      </c>
      <c r="EY18" s="382">
        <v>182.3</v>
      </c>
      <c r="EZ18" s="382">
        <v>179.8</v>
      </c>
      <c r="FA18" s="382">
        <v>180.8</v>
      </c>
      <c r="FB18" s="382">
        <v>192.8</v>
      </c>
      <c r="FC18" s="382">
        <v>147.4</v>
      </c>
      <c r="FD18" s="382">
        <v>140.19999999999999</v>
      </c>
      <c r="FE18" s="382">
        <v>147.30000000000001</v>
      </c>
      <c r="FF18" s="382">
        <v>149</v>
      </c>
      <c r="FG18" s="382">
        <v>152.4</v>
      </c>
      <c r="FH18" s="382">
        <v>144.69999999999999</v>
      </c>
      <c r="FI18" s="382">
        <v>154.19999999999999</v>
      </c>
      <c r="FJ18" s="382">
        <v>156.69999999999999</v>
      </c>
      <c r="FK18" s="382">
        <v>144.19999999999999</v>
      </c>
      <c r="FL18" s="382">
        <v>150.1</v>
      </c>
      <c r="FM18" s="382">
        <v>144.69999999999999</v>
      </c>
      <c r="FN18" s="382">
        <v>150.5</v>
      </c>
      <c r="FO18" s="382">
        <v>142.1</v>
      </c>
      <c r="FP18" s="382">
        <v>155.1</v>
      </c>
      <c r="FQ18" s="382">
        <v>140.80000000000001</v>
      </c>
      <c r="FR18" s="382">
        <v>149.6</v>
      </c>
      <c r="FS18" s="382">
        <v>157.30000000000001</v>
      </c>
      <c r="FT18" s="382">
        <v>148.1</v>
      </c>
      <c r="FU18" s="382">
        <v>140.69999999999999</v>
      </c>
      <c r="FV18" s="382">
        <v>147.9</v>
      </c>
      <c r="FW18" s="382">
        <v>145.80000000000001</v>
      </c>
      <c r="FX18" s="382">
        <v>145</v>
      </c>
      <c r="FY18" s="382">
        <v>157.5</v>
      </c>
      <c r="FZ18" s="382">
        <v>160.9</v>
      </c>
      <c r="GA18" s="382">
        <v>156.30000000000001</v>
      </c>
      <c r="GB18" s="382">
        <v>154.6</v>
      </c>
      <c r="GC18" s="382">
        <v>170.9</v>
      </c>
      <c r="GD18" s="382">
        <v>156.69999999999999</v>
      </c>
      <c r="GE18" s="382">
        <v>158</v>
      </c>
      <c r="GF18" s="373">
        <f t="shared" si="0"/>
        <v>156.64999999999998</v>
      </c>
      <c r="GG18" s="373">
        <f t="shared" si="1"/>
        <v>163.75</v>
      </c>
      <c r="GH18" s="382">
        <v>156.6</v>
      </c>
      <c r="GI18" s="382">
        <v>151.80000000000001</v>
      </c>
      <c r="GJ18" s="382">
        <v>191.8</v>
      </c>
      <c r="GK18" s="382">
        <v>171.5</v>
      </c>
      <c r="GL18" s="382">
        <v>186</v>
      </c>
      <c r="GM18" s="382">
        <v>171.6</v>
      </c>
      <c r="GN18" s="382">
        <v>176.1</v>
      </c>
      <c r="GO18" s="382">
        <v>179</v>
      </c>
      <c r="GP18" s="382">
        <v>185.1</v>
      </c>
      <c r="GQ18" s="382">
        <v>181.3</v>
      </c>
      <c r="GR18" s="382">
        <v>187.1</v>
      </c>
      <c r="GS18" s="382">
        <v>184.4</v>
      </c>
      <c r="GT18" s="382">
        <v>154.4</v>
      </c>
      <c r="GU18" s="382">
        <v>200.6</v>
      </c>
      <c r="GV18" s="382">
        <v>200.7</v>
      </c>
      <c r="GW18" s="382">
        <v>197.7</v>
      </c>
      <c r="GX18" s="382">
        <v>193.7</v>
      </c>
      <c r="GY18" s="382">
        <v>193.9</v>
      </c>
      <c r="GZ18" s="382">
        <v>195.6</v>
      </c>
      <c r="HA18" s="382">
        <v>192.7</v>
      </c>
      <c r="HB18" s="382">
        <v>200.7</v>
      </c>
      <c r="HC18" s="382">
        <v>192.7</v>
      </c>
      <c r="HD18" s="382">
        <v>182.9</v>
      </c>
    </row>
    <row r="19" spans="1:212" s="234" customFormat="1" ht="22.05" customHeight="1" x14ac:dyDescent="0.25">
      <c r="A19" s="381">
        <v>2009</v>
      </c>
      <c r="B19" s="382">
        <v>162.69999999999999</v>
      </c>
      <c r="C19" s="382">
        <v>157.19999999999999</v>
      </c>
      <c r="D19" s="382">
        <v>155.6</v>
      </c>
      <c r="E19" s="382">
        <v>148.80000000000001</v>
      </c>
      <c r="F19" s="382">
        <v>149.4</v>
      </c>
      <c r="G19" s="382">
        <v>222.9</v>
      </c>
      <c r="H19" s="382">
        <v>161.30000000000001</v>
      </c>
      <c r="I19" s="382">
        <v>156.80000000000001</v>
      </c>
      <c r="J19" s="382">
        <v>149.19999999999999</v>
      </c>
      <c r="K19" s="382">
        <v>156.30000000000001</v>
      </c>
      <c r="L19" s="382">
        <v>194.5</v>
      </c>
      <c r="M19" s="382">
        <v>192.3</v>
      </c>
      <c r="N19" s="382">
        <v>195</v>
      </c>
      <c r="O19" s="382">
        <v>196.6</v>
      </c>
      <c r="P19" s="382">
        <v>194.5</v>
      </c>
      <c r="Q19" s="382">
        <v>193.1</v>
      </c>
      <c r="R19" s="382">
        <v>198.1</v>
      </c>
      <c r="S19" s="382">
        <v>191.6</v>
      </c>
      <c r="T19" s="382">
        <v>224.9</v>
      </c>
      <c r="U19" s="382">
        <v>193.6</v>
      </c>
      <c r="V19" s="382">
        <v>194.5</v>
      </c>
      <c r="W19" s="382">
        <v>202.7</v>
      </c>
      <c r="X19" s="382">
        <v>168.4</v>
      </c>
      <c r="Y19" s="382">
        <v>172</v>
      </c>
      <c r="Z19" s="382">
        <v>166.7</v>
      </c>
      <c r="AA19" s="382">
        <v>199</v>
      </c>
      <c r="AB19" s="382">
        <v>197.7</v>
      </c>
      <c r="AC19" s="382">
        <v>198.7</v>
      </c>
      <c r="AD19" s="382">
        <v>197.4</v>
      </c>
      <c r="AE19" s="382">
        <v>199.3</v>
      </c>
      <c r="AF19" s="382">
        <v>198.8</v>
      </c>
      <c r="AG19" s="382">
        <v>204.3</v>
      </c>
      <c r="AH19" s="382">
        <v>198.4</v>
      </c>
      <c r="AI19" s="382">
        <v>188.9</v>
      </c>
      <c r="AJ19" s="382">
        <v>181.4</v>
      </c>
      <c r="AK19" s="382">
        <v>160.69999999999999</v>
      </c>
      <c r="AL19" s="382">
        <v>152</v>
      </c>
      <c r="AM19" s="382">
        <v>165.2</v>
      </c>
      <c r="AN19" s="382">
        <v>163.9</v>
      </c>
      <c r="AO19" s="382">
        <v>145.1</v>
      </c>
      <c r="AP19" s="382">
        <v>165.1</v>
      </c>
      <c r="AQ19" s="382">
        <v>152</v>
      </c>
      <c r="AR19" s="382">
        <v>164.5</v>
      </c>
      <c r="AS19" s="382">
        <v>155.6</v>
      </c>
      <c r="AT19" s="382">
        <v>153.5</v>
      </c>
      <c r="AU19" s="382">
        <v>152.80000000000001</v>
      </c>
      <c r="AV19" s="382">
        <v>218.6</v>
      </c>
      <c r="AW19" s="382">
        <v>162.6</v>
      </c>
      <c r="AX19" s="382">
        <v>163.4</v>
      </c>
      <c r="AY19" s="382">
        <v>209</v>
      </c>
      <c r="AZ19" s="382">
        <v>182.2</v>
      </c>
      <c r="BA19" s="382">
        <v>205.9</v>
      </c>
      <c r="BB19" s="382">
        <v>186.2</v>
      </c>
      <c r="BC19" s="382">
        <v>196.5</v>
      </c>
      <c r="BD19" s="382">
        <v>184</v>
      </c>
      <c r="BE19" s="382">
        <v>164.9</v>
      </c>
      <c r="BF19" s="382">
        <v>166.9</v>
      </c>
      <c r="BG19" s="382">
        <v>163</v>
      </c>
      <c r="BH19" s="382">
        <v>185.2</v>
      </c>
      <c r="BI19" s="382">
        <v>170.3</v>
      </c>
      <c r="BJ19" s="382">
        <v>164.5</v>
      </c>
      <c r="BK19" s="382">
        <v>167.1</v>
      </c>
      <c r="BL19" s="382">
        <v>168</v>
      </c>
      <c r="BM19" s="382">
        <v>165.9</v>
      </c>
      <c r="BN19" s="382">
        <v>172</v>
      </c>
      <c r="BO19" s="382">
        <v>162.1</v>
      </c>
      <c r="BP19" s="382">
        <v>156.30000000000001</v>
      </c>
      <c r="BQ19" s="382">
        <v>147.6</v>
      </c>
      <c r="BR19" s="382">
        <v>154.5</v>
      </c>
      <c r="BS19" s="382">
        <v>152.4</v>
      </c>
      <c r="BT19" s="382">
        <v>160.69999999999999</v>
      </c>
      <c r="BU19" s="382">
        <v>167.5</v>
      </c>
      <c r="BV19" s="382">
        <v>156.9</v>
      </c>
      <c r="BW19" s="382">
        <v>154.4</v>
      </c>
      <c r="BX19" s="382">
        <v>161.9</v>
      </c>
      <c r="BY19" s="382">
        <v>147.6</v>
      </c>
      <c r="BZ19" s="382">
        <v>159.4</v>
      </c>
      <c r="CA19" s="382">
        <v>161.80000000000001</v>
      </c>
      <c r="CB19" s="382">
        <v>169.1</v>
      </c>
      <c r="CC19" s="382">
        <v>211.8</v>
      </c>
      <c r="CD19" s="382">
        <v>199.2</v>
      </c>
      <c r="CE19" s="382">
        <v>197.6</v>
      </c>
      <c r="CF19" s="382">
        <v>201.9</v>
      </c>
      <c r="CG19" s="382">
        <v>201.9</v>
      </c>
      <c r="CH19" s="382">
        <v>196.9</v>
      </c>
      <c r="CI19" s="382">
        <v>185.1</v>
      </c>
      <c r="CJ19" s="382">
        <v>187.1</v>
      </c>
      <c r="CK19" s="382">
        <v>198.2</v>
      </c>
      <c r="CL19" s="382">
        <v>179.2</v>
      </c>
      <c r="CM19" s="382">
        <v>186.9</v>
      </c>
      <c r="CN19" s="382">
        <v>187.8</v>
      </c>
      <c r="CO19" s="382">
        <v>176</v>
      </c>
      <c r="CP19" s="382">
        <v>156.69999999999999</v>
      </c>
      <c r="CQ19" s="382">
        <v>166.3</v>
      </c>
      <c r="CR19" s="382">
        <v>173.7</v>
      </c>
      <c r="CS19" s="382">
        <v>168.6</v>
      </c>
      <c r="CT19" s="382">
        <v>191.8</v>
      </c>
      <c r="CU19" s="382">
        <v>203.1</v>
      </c>
      <c r="CV19" s="382">
        <v>188</v>
      </c>
      <c r="CW19" s="382">
        <v>152.80000000000001</v>
      </c>
      <c r="CX19" s="382">
        <v>156.6</v>
      </c>
      <c r="CY19" s="382">
        <v>185.6</v>
      </c>
      <c r="CZ19" s="382">
        <v>172.3</v>
      </c>
      <c r="DA19" s="382">
        <v>187.2</v>
      </c>
      <c r="DB19" s="382">
        <v>163.69999999999999</v>
      </c>
      <c r="DC19" s="382">
        <v>165.3</v>
      </c>
      <c r="DD19" s="382">
        <v>166</v>
      </c>
      <c r="DE19" s="382">
        <v>161.69999999999999</v>
      </c>
      <c r="DF19" s="382">
        <v>165</v>
      </c>
      <c r="DG19" s="382">
        <v>191.5</v>
      </c>
      <c r="DH19" s="382">
        <v>176.5</v>
      </c>
      <c r="DI19" s="382">
        <v>174</v>
      </c>
      <c r="DJ19" s="382">
        <v>173.5</v>
      </c>
      <c r="DK19" s="382">
        <v>196.8</v>
      </c>
      <c r="DL19" s="382">
        <v>200.5</v>
      </c>
      <c r="DM19" s="382">
        <v>203.6</v>
      </c>
      <c r="DN19" s="382">
        <v>202</v>
      </c>
      <c r="DO19" s="382">
        <v>198.6</v>
      </c>
      <c r="DP19" s="382">
        <v>163</v>
      </c>
      <c r="DQ19" s="382">
        <v>178.1</v>
      </c>
      <c r="DR19" s="382">
        <v>172.9</v>
      </c>
      <c r="DS19" s="382">
        <v>184.4</v>
      </c>
      <c r="DT19" s="382">
        <v>239.9</v>
      </c>
      <c r="DU19" s="382">
        <v>179.6</v>
      </c>
      <c r="DV19" s="382">
        <v>178.8</v>
      </c>
      <c r="DW19" s="382">
        <v>176.9</v>
      </c>
      <c r="DX19" s="382">
        <v>171.3</v>
      </c>
      <c r="DY19" s="382">
        <v>217.5</v>
      </c>
      <c r="DZ19" s="382">
        <v>145.1</v>
      </c>
      <c r="EA19" s="382">
        <v>145.80000000000001</v>
      </c>
      <c r="EB19" s="382">
        <v>144</v>
      </c>
      <c r="EC19" s="382">
        <v>145.1</v>
      </c>
      <c r="ED19" s="382">
        <v>142.69999999999999</v>
      </c>
      <c r="EE19" s="382">
        <v>154.30000000000001</v>
      </c>
      <c r="EF19" s="382">
        <v>175.7</v>
      </c>
      <c r="EG19" s="382">
        <v>168.4</v>
      </c>
      <c r="EH19" s="382">
        <v>168.1</v>
      </c>
      <c r="EI19" s="382">
        <v>181.6</v>
      </c>
      <c r="EJ19" s="382">
        <v>171.2</v>
      </c>
      <c r="EK19" s="382">
        <v>165.3</v>
      </c>
      <c r="EL19" s="382">
        <v>174</v>
      </c>
      <c r="EM19" s="382">
        <v>166</v>
      </c>
      <c r="EN19" s="382">
        <v>178.5</v>
      </c>
      <c r="EO19" s="382">
        <v>172.8</v>
      </c>
      <c r="EP19" s="382">
        <v>152.5</v>
      </c>
      <c r="EQ19" s="382">
        <v>153.30000000000001</v>
      </c>
      <c r="ER19" s="382">
        <v>146.80000000000001</v>
      </c>
      <c r="ES19" s="382">
        <v>181.3</v>
      </c>
      <c r="ET19" s="382">
        <v>183.6</v>
      </c>
      <c r="EU19" s="382">
        <v>188.3</v>
      </c>
      <c r="EV19" s="382">
        <v>171.9</v>
      </c>
      <c r="EW19" s="382">
        <v>176.5</v>
      </c>
      <c r="EX19" s="382">
        <v>209.5</v>
      </c>
      <c r="EY19" s="382">
        <v>181.7</v>
      </c>
      <c r="EZ19" s="382">
        <v>180.7</v>
      </c>
      <c r="FA19" s="382">
        <v>181.3</v>
      </c>
      <c r="FB19" s="382">
        <v>192.9</v>
      </c>
      <c r="FC19" s="382">
        <v>150.80000000000001</v>
      </c>
      <c r="FD19" s="382">
        <v>144.30000000000001</v>
      </c>
      <c r="FE19" s="382">
        <v>148.19999999999999</v>
      </c>
      <c r="FF19" s="382">
        <v>151.1</v>
      </c>
      <c r="FG19" s="382">
        <v>155.69999999999999</v>
      </c>
      <c r="FH19" s="382">
        <v>148</v>
      </c>
      <c r="FI19" s="382">
        <v>157.19999999999999</v>
      </c>
      <c r="FJ19" s="382">
        <v>159.80000000000001</v>
      </c>
      <c r="FK19" s="382">
        <v>143.5</v>
      </c>
      <c r="FL19" s="382">
        <v>147.30000000000001</v>
      </c>
      <c r="FM19" s="382">
        <v>146.4</v>
      </c>
      <c r="FN19" s="382">
        <v>149.80000000000001</v>
      </c>
      <c r="FO19" s="382">
        <v>141.69999999999999</v>
      </c>
      <c r="FP19" s="382">
        <v>155.5</v>
      </c>
      <c r="FQ19" s="382">
        <v>141.1</v>
      </c>
      <c r="FR19" s="382">
        <v>150.1</v>
      </c>
      <c r="FS19" s="382">
        <v>160.9</v>
      </c>
      <c r="FT19" s="382">
        <v>144.6</v>
      </c>
      <c r="FU19" s="382">
        <v>139.1</v>
      </c>
      <c r="FV19" s="382">
        <v>150.80000000000001</v>
      </c>
      <c r="FW19" s="382">
        <v>146.69999999999999</v>
      </c>
      <c r="FX19" s="382">
        <v>146.1</v>
      </c>
      <c r="FY19" s="382">
        <v>155.1</v>
      </c>
      <c r="FZ19" s="382">
        <v>160.4</v>
      </c>
      <c r="GA19" s="382">
        <v>158.30000000000001</v>
      </c>
      <c r="GB19" s="382">
        <v>156.69999999999999</v>
      </c>
      <c r="GC19" s="382">
        <v>172.5</v>
      </c>
      <c r="GD19" s="382">
        <v>160</v>
      </c>
      <c r="GE19" s="382">
        <v>161.9</v>
      </c>
      <c r="GF19" s="373">
        <f t="shared" si="0"/>
        <v>160.35</v>
      </c>
      <c r="GG19" s="373">
        <f t="shared" si="1"/>
        <v>166.6</v>
      </c>
      <c r="GH19" s="382">
        <v>160.69999999999999</v>
      </c>
      <c r="GI19" s="382">
        <v>155.6</v>
      </c>
      <c r="GJ19" s="382">
        <v>188.5</v>
      </c>
      <c r="GK19" s="382">
        <v>173</v>
      </c>
      <c r="GL19" s="382">
        <v>186.3</v>
      </c>
      <c r="GM19" s="382">
        <v>174.6</v>
      </c>
      <c r="GN19" s="382">
        <v>177.4</v>
      </c>
      <c r="GO19" s="382">
        <v>175.5</v>
      </c>
      <c r="GP19" s="382">
        <v>182.5</v>
      </c>
      <c r="GQ19" s="382">
        <v>180</v>
      </c>
      <c r="GR19" s="382">
        <v>187.3</v>
      </c>
      <c r="GS19" s="382">
        <v>182.8</v>
      </c>
      <c r="GT19" s="382">
        <v>155.19999999999999</v>
      </c>
      <c r="GU19" s="382">
        <v>205.4</v>
      </c>
      <c r="GV19" s="382">
        <v>206.6</v>
      </c>
      <c r="GW19" s="382">
        <v>203</v>
      </c>
      <c r="GX19" s="382">
        <v>198.9</v>
      </c>
      <c r="GY19" s="382">
        <v>198.8</v>
      </c>
      <c r="GZ19" s="382">
        <v>200.1</v>
      </c>
      <c r="HA19" s="382">
        <v>197.4</v>
      </c>
      <c r="HB19" s="382">
        <v>205.6</v>
      </c>
      <c r="HC19" s="382">
        <v>199.6</v>
      </c>
      <c r="HD19" s="382">
        <v>188.5</v>
      </c>
    </row>
    <row r="20" spans="1:212" s="234" customFormat="1" ht="22.05" customHeight="1" x14ac:dyDescent="0.25">
      <c r="A20" s="381">
        <v>2008</v>
      </c>
      <c r="B20" s="382">
        <v>150.30000000000001</v>
      </c>
      <c r="C20" s="382">
        <v>146.9</v>
      </c>
      <c r="D20" s="382">
        <v>143.69999999999999</v>
      </c>
      <c r="E20" s="382">
        <v>138.4</v>
      </c>
      <c r="F20" s="382">
        <v>138.80000000000001</v>
      </c>
      <c r="G20" s="382">
        <v>210.8</v>
      </c>
      <c r="H20" s="382">
        <v>152.19999999999999</v>
      </c>
      <c r="I20" s="382">
        <v>148.4</v>
      </c>
      <c r="J20" s="382">
        <v>138.6</v>
      </c>
      <c r="K20" s="382">
        <v>145.4</v>
      </c>
      <c r="L20" s="382">
        <v>182.7</v>
      </c>
      <c r="M20" s="382">
        <v>179.8</v>
      </c>
      <c r="N20" s="382">
        <v>183.2</v>
      </c>
      <c r="O20" s="382">
        <v>184.7</v>
      </c>
      <c r="P20" s="382">
        <v>182.6</v>
      </c>
      <c r="Q20" s="382">
        <v>181.3</v>
      </c>
      <c r="R20" s="382">
        <v>186</v>
      </c>
      <c r="S20" s="382">
        <v>179.9</v>
      </c>
      <c r="T20" s="382">
        <v>210.6</v>
      </c>
      <c r="U20" s="382">
        <v>181.5</v>
      </c>
      <c r="V20" s="382">
        <v>183.2</v>
      </c>
      <c r="W20" s="382">
        <v>191.6</v>
      </c>
      <c r="X20" s="382">
        <v>158.80000000000001</v>
      </c>
      <c r="Y20" s="382">
        <v>161.9</v>
      </c>
      <c r="Z20" s="382">
        <v>157.9</v>
      </c>
      <c r="AA20" s="382">
        <v>185.8</v>
      </c>
      <c r="AB20" s="382">
        <v>184.8</v>
      </c>
      <c r="AC20" s="382">
        <v>185.7</v>
      </c>
      <c r="AD20" s="382">
        <v>184.5</v>
      </c>
      <c r="AE20" s="382">
        <v>186.1</v>
      </c>
      <c r="AF20" s="382">
        <v>185.2</v>
      </c>
      <c r="AG20" s="382">
        <v>189.2</v>
      </c>
      <c r="AH20" s="382">
        <v>185.3</v>
      </c>
      <c r="AI20" s="382">
        <v>177.5</v>
      </c>
      <c r="AJ20" s="382">
        <v>170.4</v>
      </c>
      <c r="AK20" s="382">
        <v>149.6</v>
      </c>
      <c r="AL20" s="382">
        <v>142.5</v>
      </c>
      <c r="AM20" s="382">
        <v>152.9</v>
      </c>
      <c r="AN20" s="382">
        <v>153</v>
      </c>
      <c r="AO20" s="382">
        <v>135.30000000000001</v>
      </c>
      <c r="AP20" s="382">
        <v>155.6</v>
      </c>
      <c r="AQ20" s="382">
        <v>140.4</v>
      </c>
      <c r="AR20" s="382">
        <v>153.19999999999999</v>
      </c>
      <c r="AS20" s="382">
        <v>143.9</v>
      </c>
      <c r="AT20" s="382">
        <v>142.5</v>
      </c>
      <c r="AU20" s="382">
        <v>141.1</v>
      </c>
      <c r="AV20" s="382">
        <v>205.5</v>
      </c>
      <c r="AW20" s="382">
        <v>153.19999999999999</v>
      </c>
      <c r="AX20" s="382">
        <v>152.80000000000001</v>
      </c>
      <c r="AY20" s="382">
        <v>195.7</v>
      </c>
      <c r="AZ20" s="382">
        <v>168.7</v>
      </c>
      <c r="BA20" s="382">
        <v>185.5</v>
      </c>
      <c r="BB20" s="382">
        <v>172.2</v>
      </c>
      <c r="BC20" s="382">
        <v>180.2</v>
      </c>
      <c r="BD20" s="382">
        <v>168.5</v>
      </c>
      <c r="BE20" s="382">
        <v>152.4</v>
      </c>
      <c r="BF20" s="382">
        <v>155.80000000000001</v>
      </c>
      <c r="BG20" s="382">
        <v>151</v>
      </c>
      <c r="BH20" s="382">
        <v>169</v>
      </c>
      <c r="BI20" s="382">
        <v>159.19999999999999</v>
      </c>
      <c r="BJ20" s="382">
        <v>153</v>
      </c>
      <c r="BK20" s="382">
        <v>153.1</v>
      </c>
      <c r="BL20" s="382">
        <v>155.9</v>
      </c>
      <c r="BM20" s="382">
        <v>157.30000000000001</v>
      </c>
      <c r="BN20" s="382">
        <v>163.4</v>
      </c>
      <c r="BO20" s="382">
        <v>152.4</v>
      </c>
      <c r="BP20" s="382">
        <v>147.80000000000001</v>
      </c>
      <c r="BQ20" s="382">
        <v>139.19999999999999</v>
      </c>
      <c r="BR20" s="382">
        <v>144.9</v>
      </c>
      <c r="BS20" s="382">
        <v>143.1</v>
      </c>
      <c r="BT20" s="382">
        <v>152</v>
      </c>
      <c r="BU20" s="382">
        <v>156.80000000000001</v>
      </c>
      <c r="BV20" s="382">
        <v>144</v>
      </c>
      <c r="BW20" s="382">
        <v>141.5</v>
      </c>
      <c r="BX20" s="382">
        <v>149.30000000000001</v>
      </c>
      <c r="BY20" s="382">
        <v>135.9</v>
      </c>
      <c r="BZ20" s="382">
        <v>149.1</v>
      </c>
      <c r="CA20" s="382">
        <v>150.9</v>
      </c>
      <c r="CB20" s="382">
        <v>157.69999999999999</v>
      </c>
      <c r="CC20" s="382">
        <v>198.6</v>
      </c>
      <c r="CD20" s="382">
        <v>186.4</v>
      </c>
      <c r="CE20" s="382">
        <v>185.1</v>
      </c>
      <c r="CF20" s="382">
        <v>188.7</v>
      </c>
      <c r="CG20" s="382">
        <v>189.1</v>
      </c>
      <c r="CH20" s="382">
        <v>184.5</v>
      </c>
      <c r="CI20" s="382">
        <v>171.3</v>
      </c>
      <c r="CJ20" s="382">
        <v>173.7</v>
      </c>
      <c r="CK20" s="382">
        <v>184.5</v>
      </c>
      <c r="CL20" s="382">
        <v>169.6</v>
      </c>
      <c r="CM20" s="382">
        <v>176.4</v>
      </c>
      <c r="CN20" s="382">
        <v>177</v>
      </c>
      <c r="CO20" s="382">
        <v>164.4</v>
      </c>
      <c r="CP20" s="382">
        <v>140.19999999999999</v>
      </c>
      <c r="CQ20" s="382">
        <v>155.69999999999999</v>
      </c>
      <c r="CR20" s="382">
        <v>161.6</v>
      </c>
      <c r="CS20" s="382">
        <v>158.69999999999999</v>
      </c>
      <c r="CT20" s="382">
        <v>177.4</v>
      </c>
      <c r="CU20" s="382">
        <v>190.6</v>
      </c>
      <c r="CV20" s="382">
        <v>175</v>
      </c>
      <c r="CW20" s="382">
        <v>141.80000000000001</v>
      </c>
      <c r="CX20" s="382">
        <v>147.1</v>
      </c>
      <c r="CY20" s="382">
        <v>175.5</v>
      </c>
      <c r="CZ20" s="382">
        <v>164.2</v>
      </c>
      <c r="DA20" s="382">
        <v>176.2</v>
      </c>
      <c r="DB20" s="382">
        <v>152.9</v>
      </c>
      <c r="DC20" s="382">
        <v>153.1</v>
      </c>
      <c r="DD20" s="382">
        <v>154.6</v>
      </c>
      <c r="DE20" s="382">
        <v>152</v>
      </c>
      <c r="DF20" s="382">
        <v>154.80000000000001</v>
      </c>
      <c r="DG20" s="382">
        <v>176.2</v>
      </c>
      <c r="DH20" s="382">
        <v>167</v>
      </c>
      <c r="DI20" s="382">
        <v>162.5</v>
      </c>
      <c r="DJ20" s="382">
        <v>161.9</v>
      </c>
      <c r="DK20" s="382">
        <v>184</v>
      </c>
      <c r="DL20" s="382">
        <v>187.3</v>
      </c>
      <c r="DM20" s="382">
        <v>189.6</v>
      </c>
      <c r="DN20" s="382">
        <v>188.7</v>
      </c>
      <c r="DO20" s="382">
        <v>185.6</v>
      </c>
      <c r="DP20" s="382">
        <v>152.6</v>
      </c>
      <c r="DQ20" s="382">
        <v>166</v>
      </c>
      <c r="DR20" s="382">
        <v>160.69999999999999</v>
      </c>
      <c r="DS20" s="382">
        <v>173.9</v>
      </c>
      <c r="DT20" s="382">
        <v>226.8</v>
      </c>
      <c r="DU20" s="382">
        <v>168</v>
      </c>
      <c r="DV20" s="382">
        <v>167.2</v>
      </c>
      <c r="DW20" s="382">
        <v>165.9</v>
      </c>
      <c r="DX20" s="382">
        <v>161.6</v>
      </c>
      <c r="DY20" s="382">
        <v>202.1</v>
      </c>
      <c r="DZ20" s="382">
        <v>135.80000000000001</v>
      </c>
      <c r="EA20" s="382">
        <v>136.6</v>
      </c>
      <c r="EB20" s="382">
        <v>134.6</v>
      </c>
      <c r="EC20" s="382">
        <v>135.30000000000001</v>
      </c>
      <c r="ED20" s="382">
        <v>133.80000000000001</v>
      </c>
      <c r="EE20" s="382">
        <v>145</v>
      </c>
      <c r="EF20" s="382">
        <v>165.4</v>
      </c>
      <c r="EG20" s="382">
        <v>158.4</v>
      </c>
      <c r="EH20" s="382">
        <v>159</v>
      </c>
      <c r="EI20" s="382">
        <v>170.6</v>
      </c>
      <c r="EJ20" s="382">
        <v>160.19999999999999</v>
      </c>
      <c r="EK20" s="382">
        <v>157.5</v>
      </c>
      <c r="EL20" s="382">
        <v>163.9</v>
      </c>
      <c r="EM20" s="382">
        <v>157.5</v>
      </c>
      <c r="EN20" s="382">
        <v>168.2</v>
      </c>
      <c r="EO20" s="382">
        <v>161.5</v>
      </c>
      <c r="EP20" s="382">
        <v>141.30000000000001</v>
      </c>
      <c r="EQ20" s="382">
        <v>140.6</v>
      </c>
      <c r="ER20" s="382">
        <v>136.19999999999999</v>
      </c>
      <c r="ES20" s="382">
        <v>172.3</v>
      </c>
      <c r="ET20" s="382">
        <v>174.7</v>
      </c>
      <c r="EU20" s="382">
        <v>175.7</v>
      </c>
      <c r="EV20" s="382">
        <v>161</v>
      </c>
      <c r="EW20" s="382">
        <v>165.7</v>
      </c>
      <c r="EX20" s="382">
        <v>196.2</v>
      </c>
      <c r="EY20" s="382">
        <v>169.2</v>
      </c>
      <c r="EZ20" s="382">
        <v>169.3</v>
      </c>
      <c r="FA20" s="382">
        <v>167.9</v>
      </c>
      <c r="FB20" s="382">
        <v>178.2</v>
      </c>
      <c r="FC20" s="382">
        <v>142.1</v>
      </c>
      <c r="FD20" s="382">
        <v>134.80000000000001</v>
      </c>
      <c r="FE20" s="382">
        <v>138.4</v>
      </c>
      <c r="FF20" s="382">
        <v>141.30000000000001</v>
      </c>
      <c r="FG20" s="382">
        <v>136.69999999999999</v>
      </c>
      <c r="FH20" s="382">
        <v>133.4</v>
      </c>
      <c r="FI20" s="382">
        <v>146</v>
      </c>
      <c r="FJ20" s="382">
        <v>147.5</v>
      </c>
      <c r="FK20" s="382">
        <v>132.4</v>
      </c>
      <c r="FL20" s="382">
        <v>137</v>
      </c>
      <c r="FM20" s="382">
        <v>137.5</v>
      </c>
      <c r="FN20" s="382">
        <v>140.30000000000001</v>
      </c>
      <c r="FO20" s="382">
        <v>133.19999999999999</v>
      </c>
      <c r="FP20" s="382">
        <v>144.1</v>
      </c>
      <c r="FQ20" s="382">
        <v>130.69999999999999</v>
      </c>
      <c r="FR20" s="382">
        <v>138.30000000000001</v>
      </c>
      <c r="FS20" s="382">
        <v>149.1</v>
      </c>
      <c r="FT20" s="382">
        <v>134.69999999999999</v>
      </c>
      <c r="FU20" s="382">
        <v>128.9</v>
      </c>
      <c r="FV20" s="382">
        <v>141</v>
      </c>
      <c r="FW20" s="382">
        <v>136.1</v>
      </c>
      <c r="FX20" s="382">
        <v>136.1</v>
      </c>
      <c r="FY20" s="382">
        <v>144.80000000000001</v>
      </c>
      <c r="FZ20" s="382">
        <v>149.69999999999999</v>
      </c>
      <c r="GA20" s="382">
        <v>147.19999999999999</v>
      </c>
      <c r="GB20" s="382">
        <v>145.80000000000001</v>
      </c>
      <c r="GC20" s="382">
        <v>161.80000000000001</v>
      </c>
      <c r="GD20" s="382">
        <v>150.80000000000001</v>
      </c>
      <c r="GE20" s="382">
        <v>150.80000000000001</v>
      </c>
      <c r="GF20" s="373">
        <f t="shared" si="0"/>
        <v>150.85000000000002</v>
      </c>
      <c r="GG20" s="373">
        <f t="shared" si="1"/>
        <v>156.35000000000002</v>
      </c>
      <c r="GH20" s="382">
        <v>150.9</v>
      </c>
      <c r="GI20" s="382">
        <v>145.9</v>
      </c>
      <c r="GJ20" s="382">
        <v>176.9</v>
      </c>
      <c r="GK20" s="382">
        <v>162.4</v>
      </c>
      <c r="GL20" s="382">
        <v>174.9</v>
      </c>
      <c r="GM20" s="382">
        <v>162.80000000000001</v>
      </c>
      <c r="GN20" s="382">
        <v>165.7</v>
      </c>
      <c r="GO20" s="382">
        <v>165.6</v>
      </c>
      <c r="GP20" s="382">
        <v>172.2</v>
      </c>
      <c r="GQ20" s="382">
        <v>168.4</v>
      </c>
      <c r="GR20" s="382">
        <v>176.3</v>
      </c>
      <c r="GS20" s="382">
        <v>173</v>
      </c>
      <c r="GT20" s="382">
        <v>146.5</v>
      </c>
      <c r="GU20" s="382">
        <v>190.2</v>
      </c>
      <c r="GV20" s="382">
        <v>191</v>
      </c>
      <c r="GW20" s="382">
        <v>194.3</v>
      </c>
      <c r="GX20" s="382">
        <v>188.6</v>
      </c>
      <c r="GY20" s="382">
        <v>186.7</v>
      </c>
      <c r="GZ20" s="382">
        <v>188</v>
      </c>
      <c r="HA20" s="382">
        <v>186.8</v>
      </c>
      <c r="HB20" s="382">
        <v>194.6</v>
      </c>
      <c r="HC20" s="382">
        <v>184.9</v>
      </c>
      <c r="HD20" s="382">
        <v>174.4</v>
      </c>
    </row>
    <row r="21" spans="1:212" s="234" customFormat="1" ht="22.05" customHeight="1" x14ac:dyDescent="0.25">
      <c r="A21" s="381">
        <v>2007</v>
      </c>
      <c r="B21" s="382">
        <v>146.9</v>
      </c>
      <c r="C21" s="382">
        <v>143.30000000000001</v>
      </c>
      <c r="D21" s="382">
        <v>140.30000000000001</v>
      </c>
      <c r="E21" s="382">
        <v>134.80000000000001</v>
      </c>
      <c r="F21" s="382">
        <v>135.4</v>
      </c>
      <c r="G21" s="382">
        <v>206.8</v>
      </c>
      <c r="H21" s="382">
        <v>147.69999999999999</v>
      </c>
      <c r="I21" s="382">
        <v>143.1</v>
      </c>
      <c r="J21" s="382">
        <v>134.80000000000001</v>
      </c>
      <c r="K21" s="382">
        <v>141.69999999999999</v>
      </c>
      <c r="L21" s="382">
        <v>175.1</v>
      </c>
      <c r="M21" s="382">
        <v>173.7</v>
      </c>
      <c r="N21" s="382">
        <v>176.7</v>
      </c>
      <c r="O21" s="382">
        <v>177.5</v>
      </c>
      <c r="P21" s="382">
        <v>176.2</v>
      </c>
      <c r="Q21" s="382">
        <v>174.7</v>
      </c>
      <c r="R21" s="382">
        <v>179.1</v>
      </c>
      <c r="S21" s="382">
        <v>173.6</v>
      </c>
      <c r="T21" s="382">
        <v>201.1</v>
      </c>
      <c r="U21" s="382">
        <v>175.2</v>
      </c>
      <c r="V21" s="382">
        <v>178.2</v>
      </c>
      <c r="W21" s="382">
        <v>185.9</v>
      </c>
      <c r="X21" s="382">
        <v>152.6</v>
      </c>
      <c r="Y21" s="382">
        <v>155.9</v>
      </c>
      <c r="Z21" s="382">
        <v>152.30000000000001</v>
      </c>
      <c r="AA21" s="382">
        <v>179.6</v>
      </c>
      <c r="AB21" s="382">
        <v>178.3</v>
      </c>
      <c r="AC21" s="382">
        <v>179.6</v>
      </c>
      <c r="AD21" s="382">
        <v>178</v>
      </c>
      <c r="AE21" s="382">
        <v>179.5</v>
      </c>
      <c r="AF21" s="382">
        <v>178.6</v>
      </c>
      <c r="AG21" s="382">
        <v>183.3</v>
      </c>
      <c r="AH21" s="382">
        <v>179.1</v>
      </c>
      <c r="AI21" s="382">
        <v>173.4</v>
      </c>
      <c r="AJ21" s="382">
        <v>163.1</v>
      </c>
      <c r="AK21" s="382">
        <v>145.6</v>
      </c>
      <c r="AL21" s="382">
        <v>139</v>
      </c>
      <c r="AM21" s="382">
        <v>148.9</v>
      </c>
      <c r="AN21" s="382">
        <v>148.1</v>
      </c>
      <c r="AO21" s="382">
        <v>131.69999999999999</v>
      </c>
      <c r="AP21" s="382">
        <v>152</v>
      </c>
      <c r="AQ21" s="382">
        <v>135.80000000000001</v>
      </c>
      <c r="AR21" s="382">
        <v>148</v>
      </c>
      <c r="AS21" s="382">
        <v>140.1</v>
      </c>
      <c r="AT21" s="382">
        <v>138.1</v>
      </c>
      <c r="AU21" s="382">
        <v>136.9</v>
      </c>
      <c r="AV21" s="382">
        <v>200.4</v>
      </c>
      <c r="AW21" s="382">
        <v>148</v>
      </c>
      <c r="AX21" s="382">
        <v>148.1</v>
      </c>
      <c r="AY21" s="382">
        <v>186.5</v>
      </c>
      <c r="AZ21" s="382">
        <v>160.5</v>
      </c>
      <c r="BA21" s="382">
        <v>177.7</v>
      </c>
      <c r="BB21" s="382">
        <v>166</v>
      </c>
      <c r="BC21" s="382">
        <v>175</v>
      </c>
      <c r="BD21" s="382">
        <v>159.19999999999999</v>
      </c>
      <c r="BE21" s="382">
        <v>149</v>
      </c>
      <c r="BF21" s="382">
        <v>152.6</v>
      </c>
      <c r="BG21" s="382">
        <v>147.69999999999999</v>
      </c>
      <c r="BH21" s="382">
        <v>165.4</v>
      </c>
      <c r="BI21" s="382">
        <v>154.1</v>
      </c>
      <c r="BJ21" s="382">
        <v>149.69999999999999</v>
      </c>
      <c r="BK21" s="382">
        <v>149.5</v>
      </c>
      <c r="BL21" s="382">
        <v>152.69999999999999</v>
      </c>
      <c r="BM21" s="382">
        <v>152.4</v>
      </c>
      <c r="BN21" s="382">
        <v>157.6</v>
      </c>
      <c r="BO21" s="382">
        <v>148.9</v>
      </c>
      <c r="BP21" s="382">
        <v>144</v>
      </c>
      <c r="BQ21" s="382">
        <v>135</v>
      </c>
      <c r="BR21" s="382">
        <v>141</v>
      </c>
      <c r="BS21" s="382">
        <v>138.69999999999999</v>
      </c>
      <c r="BT21" s="382">
        <v>147.6</v>
      </c>
      <c r="BU21" s="382">
        <v>150.9</v>
      </c>
      <c r="BV21" s="382">
        <v>139.4</v>
      </c>
      <c r="BW21" s="382">
        <v>138</v>
      </c>
      <c r="BX21" s="382">
        <v>145.19999999999999</v>
      </c>
      <c r="BY21" s="382">
        <v>132.4</v>
      </c>
      <c r="BZ21" s="382">
        <v>146.4</v>
      </c>
      <c r="CA21" s="382">
        <v>148.19999999999999</v>
      </c>
      <c r="CB21" s="382">
        <v>152.5</v>
      </c>
      <c r="CC21" s="382">
        <v>191.8</v>
      </c>
      <c r="CD21" s="382">
        <v>180.4</v>
      </c>
      <c r="CE21" s="382">
        <v>179.7</v>
      </c>
      <c r="CF21" s="382">
        <v>182</v>
      </c>
      <c r="CG21" s="382">
        <v>181.7</v>
      </c>
      <c r="CH21" s="382">
        <v>179.1</v>
      </c>
      <c r="CI21" s="382">
        <v>166.8</v>
      </c>
      <c r="CJ21" s="382">
        <v>169.1</v>
      </c>
      <c r="CK21" s="382">
        <v>180.4</v>
      </c>
      <c r="CL21" s="382">
        <v>166.8</v>
      </c>
      <c r="CM21" s="382">
        <v>172.5</v>
      </c>
      <c r="CN21" s="382">
        <v>172.9</v>
      </c>
      <c r="CO21" s="382">
        <v>161.69999999999999</v>
      </c>
      <c r="CP21" s="382">
        <v>137.19999999999999</v>
      </c>
      <c r="CQ21" s="382">
        <v>152.6</v>
      </c>
      <c r="CR21" s="382">
        <v>158.69999999999999</v>
      </c>
      <c r="CS21" s="382">
        <v>156.1</v>
      </c>
      <c r="CT21" s="382">
        <v>174.2</v>
      </c>
      <c r="CU21" s="382">
        <v>184.5</v>
      </c>
      <c r="CV21" s="382">
        <v>171.4</v>
      </c>
      <c r="CW21" s="382">
        <v>137.69999999999999</v>
      </c>
      <c r="CX21" s="382">
        <v>131.19999999999999</v>
      </c>
      <c r="CY21" s="382">
        <v>169</v>
      </c>
      <c r="CZ21" s="382">
        <v>157.80000000000001</v>
      </c>
      <c r="DA21" s="382">
        <v>170.6</v>
      </c>
      <c r="DB21" s="382">
        <v>145.30000000000001</v>
      </c>
      <c r="DC21" s="382">
        <v>147.69999999999999</v>
      </c>
      <c r="DD21" s="382">
        <v>147.80000000000001</v>
      </c>
      <c r="DE21" s="382">
        <v>147.69999999999999</v>
      </c>
      <c r="DF21" s="382">
        <v>150.30000000000001</v>
      </c>
      <c r="DG21" s="382">
        <v>166.7</v>
      </c>
      <c r="DH21" s="382">
        <v>161.4</v>
      </c>
      <c r="DI21" s="382">
        <v>159.30000000000001</v>
      </c>
      <c r="DJ21" s="382">
        <v>158.69999999999999</v>
      </c>
      <c r="DK21" s="382">
        <v>179.3</v>
      </c>
      <c r="DL21" s="382">
        <v>183.3</v>
      </c>
      <c r="DM21" s="382">
        <v>185.2</v>
      </c>
      <c r="DN21" s="382">
        <v>184.6</v>
      </c>
      <c r="DO21" s="382">
        <v>181.7</v>
      </c>
      <c r="DP21" s="382">
        <v>146.69999999999999</v>
      </c>
      <c r="DQ21" s="382">
        <v>159.4</v>
      </c>
      <c r="DR21" s="382">
        <v>155.69999999999999</v>
      </c>
      <c r="DS21" s="382">
        <v>168.6</v>
      </c>
      <c r="DT21" s="382">
        <v>215.2</v>
      </c>
      <c r="DU21" s="382">
        <v>163.5</v>
      </c>
      <c r="DV21" s="382">
        <v>159.80000000000001</v>
      </c>
      <c r="DW21" s="382">
        <v>159.80000000000001</v>
      </c>
      <c r="DX21" s="382">
        <v>155</v>
      </c>
      <c r="DY21" s="382">
        <v>196.5</v>
      </c>
      <c r="DZ21" s="382">
        <v>132.80000000000001</v>
      </c>
      <c r="EA21" s="382">
        <v>133.69999999999999</v>
      </c>
      <c r="EB21" s="382">
        <v>131.69999999999999</v>
      </c>
      <c r="EC21" s="382">
        <v>132.1</v>
      </c>
      <c r="ED21" s="382">
        <v>131</v>
      </c>
      <c r="EE21" s="382">
        <v>139.80000000000001</v>
      </c>
      <c r="EF21" s="382">
        <v>159</v>
      </c>
      <c r="EG21" s="382">
        <v>153.19999999999999</v>
      </c>
      <c r="EH21" s="382">
        <v>152.4</v>
      </c>
      <c r="EI21" s="382">
        <v>164.9</v>
      </c>
      <c r="EJ21" s="382">
        <v>155.1</v>
      </c>
      <c r="EK21" s="382">
        <v>149.4</v>
      </c>
      <c r="EL21" s="382">
        <v>158.1</v>
      </c>
      <c r="EM21" s="382">
        <v>150.30000000000001</v>
      </c>
      <c r="EN21" s="382">
        <v>161.6</v>
      </c>
      <c r="EO21" s="382">
        <v>156.69999999999999</v>
      </c>
      <c r="EP21" s="382">
        <v>136.19999999999999</v>
      </c>
      <c r="EQ21" s="382">
        <v>135.6</v>
      </c>
      <c r="ER21" s="382">
        <v>132.5</v>
      </c>
      <c r="ES21" s="382">
        <v>168.5</v>
      </c>
      <c r="ET21" s="382">
        <v>169.5</v>
      </c>
      <c r="EU21" s="382">
        <v>169.4</v>
      </c>
      <c r="EV21" s="382">
        <v>156</v>
      </c>
      <c r="EW21" s="382">
        <v>159.4</v>
      </c>
      <c r="EX21" s="382">
        <v>188.4</v>
      </c>
      <c r="EY21" s="382">
        <v>163.19999999999999</v>
      </c>
      <c r="EZ21" s="382">
        <v>164.9</v>
      </c>
      <c r="FA21" s="382">
        <v>163.1</v>
      </c>
      <c r="FB21" s="382">
        <v>174.4</v>
      </c>
      <c r="FC21" s="382">
        <v>139.30000000000001</v>
      </c>
      <c r="FD21" s="382">
        <v>131.69999999999999</v>
      </c>
      <c r="FE21" s="382">
        <v>129.5</v>
      </c>
      <c r="FF21" s="382">
        <v>133</v>
      </c>
      <c r="FG21" s="382">
        <v>133.69999999999999</v>
      </c>
      <c r="FH21" s="382">
        <v>130.6</v>
      </c>
      <c r="FI21" s="382">
        <v>143.1</v>
      </c>
      <c r="FJ21" s="382">
        <v>144.4</v>
      </c>
      <c r="FK21" s="382">
        <v>128.5</v>
      </c>
      <c r="FL21" s="382">
        <v>132.19999999999999</v>
      </c>
      <c r="FM21" s="382">
        <v>131.6</v>
      </c>
      <c r="FN21" s="382">
        <v>137.1</v>
      </c>
      <c r="FO21" s="382">
        <v>128.80000000000001</v>
      </c>
      <c r="FP21" s="382">
        <v>138.6</v>
      </c>
      <c r="FQ21" s="382">
        <v>126.2</v>
      </c>
      <c r="FR21" s="382">
        <v>134.80000000000001</v>
      </c>
      <c r="FS21" s="382">
        <v>146</v>
      </c>
      <c r="FT21" s="382">
        <v>130.19999999999999</v>
      </c>
      <c r="FU21" s="382">
        <v>125</v>
      </c>
      <c r="FV21" s="382">
        <v>136.4</v>
      </c>
      <c r="FW21" s="382">
        <v>132.1</v>
      </c>
      <c r="FX21" s="382">
        <v>132.1</v>
      </c>
      <c r="FY21" s="382">
        <v>140</v>
      </c>
      <c r="FZ21" s="382">
        <v>144.6</v>
      </c>
      <c r="GA21" s="382">
        <v>144.4</v>
      </c>
      <c r="GB21" s="382">
        <v>143.19999999999999</v>
      </c>
      <c r="GC21" s="382">
        <v>155</v>
      </c>
      <c r="GD21" s="382">
        <v>146.19999999999999</v>
      </c>
      <c r="GE21" s="382">
        <v>146.1</v>
      </c>
      <c r="GF21" s="373">
        <f t="shared" si="0"/>
        <v>146.75</v>
      </c>
      <c r="GG21" s="373">
        <f t="shared" si="1"/>
        <v>151.15</v>
      </c>
      <c r="GH21" s="382">
        <v>147.30000000000001</v>
      </c>
      <c r="GI21" s="382">
        <v>142.9</v>
      </c>
      <c r="GJ21" s="382">
        <v>171.4</v>
      </c>
      <c r="GK21" s="382">
        <v>156.69999999999999</v>
      </c>
      <c r="GL21" s="382">
        <v>168.7</v>
      </c>
      <c r="GM21" s="382">
        <v>158.69999999999999</v>
      </c>
      <c r="GN21" s="382">
        <v>160.1</v>
      </c>
      <c r="GO21" s="382">
        <v>159.4</v>
      </c>
      <c r="GP21" s="382">
        <v>164.8</v>
      </c>
      <c r="GQ21" s="382">
        <v>160.69999999999999</v>
      </c>
      <c r="GR21" s="382">
        <v>168.9</v>
      </c>
      <c r="GS21" s="382">
        <v>164.7</v>
      </c>
      <c r="GT21" s="382">
        <v>141.30000000000001</v>
      </c>
      <c r="GU21" s="382">
        <v>183.1</v>
      </c>
      <c r="GV21" s="382">
        <v>184.4</v>
      </c>
      <c r="GW21" s="382">
        <v>186.8</v>
      </c>
      <c r="GX21" s="382">
        <v>182.4</v>
      </c>
      <c r="GY21" s="382">
        <v>181.7</v>
      </c>
      <c r="GZ21" s="382">
        <v>182.4</v>
      </c>
      <c r="HA21" s="382">
        <v>182</v>
      </c>
      <c r="HB21" s="382">
        <v>187.7</v>
      </c>
      <c r="HC21" s="382">
        <v>180.6</v>
      </c>
      <c r="HD21" s="382">
        <v>170.1</v>
      </c>
    </row>
    <row r="22" spans="1:212" s="234" customFormat="1" ht="22.05" customHeight="1" x14ac:dyDescent="0.25">
      <c r="A22" s="381">
        <v>2006</v>
      </c>
      <c r="B22" s="382">
        <v>135.69999999999999</v>
      </c>
      <c r="C22" s="382">
        <v>133.6</v>
      </c>
      <c r="D22" s="382">
        <v>126.7</v>
      </c>
      <c r="E22" s="382">
        <v>124</v>
      </c>
      <c r="F22" s="382">
        <v>122.2</v>
      </c>
      <c r="G22" s="382">
        <v>196.4</v>
      </c>
      <c r="H22" s="382">
        <v>137.9</v>
      </c>
      <c r="I22" s="382">
        <v>134.80000000000001</v>
      </c>
      <c r="J22" s="382">
        <v>123.2</v>
      </c>
      <c r="K22" s="382">
        <v>127.2</v>
      </c>
      <c r="L22" s="382">
        <v>166.8</v>
      </c>
      <c r="M22" s="382">
        <v>164.9</v>
      </c>
      <c r="N22" s="382">
        <v>169.8</v>
      </c>
      <c r="O22" s="382">
        <v>167.3</v>
      </c>
      <c r="P22" s="382">
        <v>167.4</v>
      </c>
      <c r="Q22" s="382">
        <v>166</v>
      </c>
      <c r="R22" s="382">
        <v>172.2</v>
      </c>
      <c r="S22" s="382">
        <v>164</v>
      </c>
      <c r="T22" s="382">
        <v>191.2</v>
      </c>
      <c r="U22" s="382">
        <v>166.4</v>
      </c>
      <c r="V22" s="382">
        <v>171</v>
      </c>
      <c r="W22" s="382">
        <v>177.9</v>
      </c>
      <c r="X22" s="382">
        <v>146.1</v>
      </c>
      <c r="Y22" s="382">
        <v>149.19999999999999</v>
      </c>
      <c r="Z22" s="382">
        <v>145</v>
      </c>
      <c r="AA22" s="382">
        <v>169.5</v>
      </c>
      <c r="AB22" s="382">
        <v>168</v>
      </c>
      <c r="AC22" s="382">
        <v>169.5</v>
      </c>
      <c r="AD22" s="382">
        <v>167.7</v>
      </c>
      <c r="AE22" s="382">
        <v>169.8</v>
      </c>
      <c r="AF22" s="382">
        <v>169.7</v>
      </c>
      <c r="AG22" s="382">
        <v>173.7</v>
      </c>
      <c r="AH22" s="382">
        <v>169.1</v>
      </c>
      <c r="AI22" s="382">
        <v>158.30000000000001</v>
      </c>
      <c r="AJ22" s="382">
        <v>153</v>
      </c>
      <c r="AK22" s="382">
        <v>136</v>
      </c>
      <c r="AL22" s="382">
        <v>126.5</v>
      </c>
      <c r="AM22" s="382">
        <v>136.69999999999999</v>
      </c>
      <c r="AN22" s="382">
        <v>134.30000000000001</v>
      </c>
      <c r="AO22" s="382">
        <v>118.4</v>
      </c>
      <c r="AP22" s="382">
        <v>136.6</v>
      </c>
      <c r="AQ22" s="382">
        <v>123.6</v>
      </c>
      <c r="AR22" s="382">
        <v>139.9</v>
      </c>
      <c r="AS22" s="382">
        <v>126.3</v>
      </c>
      <c r="AT22" s="382">
        <v>124.3</v>
      </c>
      <c r="AU22" s="382">
        <v>124</v>
      </c>
      <c r="AV22" s="382">
        <v>191.9</v>
      </c>
      <c r="AW22" s="382">
        <v>141.6</v>
      </c>
      <c r="AX22" s="382">
        <v>141.19999999999999</v>
      </c>
      <c r="AY22" s="382">
        <v>177.8</v>
      </c>
      <c r="AZ22" s="382">
        <v>153.80000000000001</v>
      </c>
      <c r="BA22" s="382">
        <v>168.7</v>
      </c>
      <c r="BB22" s="382">
        <v>155.19999999999999</v>
      </c>
      <c r="BC22" s="382">
        <v>163.30000000000001</v>
      </c>
      <c r="BD22" s="382">
        <v>152.80000000000001</v>
      </c>
      <c r="BE22" s="382">
        <v>139.80000000000001</v>
      </c>
      <c r="BF22" s="382">
        <v>144.4</v>
      </c>
      <c r="BG22" s="382">
        <v>139.1</v>
      </c>
      <c r="BH22" s="382">
        <v>154.5</v>
      </c>
      <c r="BI22" s="382">
        <v>144.6</v>
      </c>
      <c r="BJ22" s="382">
        <v>141.19999999999999</v>
      </c>
      <c r="BK22" s="382">
        <v>141.30000000000001</v>
      </c>
      <c r="BL22" s="382">
        <v>144</v>
      </c>
      <c r="BM22" s="382">
        <v>145.80000000000001</v>
      </c>
      <c r="BN22" s="382">
        <v>151.1</v>
      </c>
      <c r="BO22" s="382">
        <v>142.9</v>
      </c>
      <c r="BP22" s="382">
        <v>137.30000000000001</v>
      </c>
      <c r="BQ22" s="382">
        <v>128.4</v>
      </c>
      <c r="BR22" s="382">
        <v>134.69999999999999</v>
      </c>
      <c r="BS22" s="382">
        <v>132.9</v>
      </c>
      <c r="BT22" s="382">
        <v>129</v>
      </c>
      <c r="BU22" s="382">
        <v>143</v>
      </c>
      <c r="BV22" s="382">
        <v>129.4</v>
      </c>
      <c r="BW22" s="382">
        <v>129.80000000000001</v>
      </c>
      <c r="BX22" s="382">
        <v>135.80000000000001</v>
      </c>
      <c r="BY22" s="382">
        <v>125.2</v>
      </c>
      <c r="BZ22" s="382">
        <v>140.19999999999999</v>
      </c>
      <c r="CA22" s="382">
        <v>139.80000000000001</v>
      </c>
      <c r="CB22" s="382">
        <v>144.9</v>
      </c>
      <c r="CC22" s="382">
        <v>180.4</v>
      </c>
      <c r="CD22" s="382">
        <v>171.6</v>
      </c>
      <c r="CE22" s="382">
        <v>170.4</v>
      </c>
      <c r="CF22" s="382">
        <v>172.3</v>
      </c>
      <c r="CG22" s="382">
        <v>173.5</v>
      </c>
      <c r="CH22" s="382">
        <v>170.4</v>
      </c>
      <c r="CI22" s="382">
        <v>157.30000000000001</v>
      </c>
      <c r="CJ22" s="382">
        <v>159.69999999999999</v>
      </c>
      <c r="CK22" s="382">
        <v>171.6</v>
      </c>
      <c r="CL22" s="382">
        <v>161.1</v>
      </c>
      <c r="CM22" s="382">
        <v>165.5</v>
      </c>
      <c r="CN22" s="382">
        <v>165.8</v>
      </c>
      <c r="CO22" s="382">
        <v>153.80000000000001</v>
      </c>
      <c r="CP22" s="382">
        <v>131.1</v>
      </c>
      <c r="CQ22" s="382">
        <v>146</v>
      </c>
      <c r="CR22" s="382">
        <v>152.5</v>
      </c>
      <c r="CS22" s="382">
        <v>150.6</v>
      </c>
      <c r="CT22" s="382">
        <v>166.2</v>
      </c>
      <c r="CU22" s="382">
        <v>173.9</v>
      </c>
      <c r="CV22" s="382">
        <v>161.9</v>
      </c>
      <c r="CW22" s="382">
        <v>123.3</v>
      </c>
      <c r="CX22" s="382">
        <v>117.1</v>
      </c>
      <c r="CY22" s="382">
        <v>162</v>
      </c>
      <c r="CZ22" s="382">
        <v>152.4</v>
      </c>
      <c r="DA22" s="382">
        <v>159.30000000000001</v>
      </c>
      <c r="DB22" s="382">
        <v>139.4</v>
      </c>
      <c r="DC22" s="382">
        <v>140.5</v>
      </c>
      <c r="DD22" s="382">
        <v>140.80000000000001</v>
      </c>
      <c r="DE22" s="382">
        <v>132.4</v>
      </c>
      <c r="DF22" s="382">
        <v>140.69999999999999</v>
      </c>
      <c r="DG22" s="382">
        <v>160</v>
      </c>
      <c r="DH22" s="382">
        <v>154.5</v>
      </c>
      <c r="DI22" s="382">
        <v>146.69999999999999</v>
      </c>
      <c r="DJ22" s="382">
        <v>146.4</v>
      </c>
      <c r="DK22" s="382">
        <v>167.7</v>
      </c>
      <c r="DL22" s="382">
        <v>171</v>
      </c>
      <c r="DM22" s="382">
        <v>173.6</v>
      </c>
      <c r="DN22" s="382">
        <v>172.2</v>
      </c>
      <c r="DO22" s="382">
        <v>169.9</v>
      </c>
      <c r="DP22" s="382">
        <v>140.1</v>
      </c>
      <c r="DQ22" s="382">
        <v>151.6</v>
      </c>
      <c r="DR22" s="382">
        <v>147.5</v>
      </c>
      <c r="DS22" s="382">
        <v>159.19999999999999</v>
      </c>
      <c r="DT22" s="382">
        <v>204.5</v>
      </c>
      <c r="DU22" s="382">
        <v>155.19999999999999</v>
      </c>
      <c r="DV22" s="382">
        <v>151.1</v>
      </c>
      <c r="DW22" s="382">
        <v>150.9</v>
      </c>
      <c r="DX22" s="382">
        <v>146.4</v>
      </c>
      <c r="DY22" s="382">
        <v>186</v>
      </c>
      <c r="DZ22" s="382">
        <v>125.1</v>
      </c>
      <c r="EA22" s="382">
        <v>124.6</v>
      </c>
      <c r="EB22" s="382">
        <v>123.8</v>
      </c>
      <c r="EC22" s="382">
        <v>124.2</v>
      </c>
      <c r="ED22" s="382">
        <v>123</v>
      </c>
      <c r="EE22" s="382">
        <v>133.19999999999999</v>
      </c>
      <c r="EF22" s="382">
        <v>152.80000000000001</v>
      </c>
      <c r="EG22" s="382">
        <v>147</v>
      </c>
      <c r="EH22" s="382">
        <v>144.9</v>
      </c>
      <c r="EI22" s="382">
        <v>156.9</v>
      </c>
      <c r="EJ22" s="382">
        <v>146.9</v>
      </c>
      <c r="EK22" s="382">
        <v>142.9</v>
      </c>
      <c r="EL22" s="382">
        <v>151.80000000000001</v>
      </c>
      <c r="EM22" s="382">
        <v>143.4</v>
      </c>
      <c r="EN22" s="382">
        <v>154.5</v>
      </c>
      <c r="EO22" s="382">
        <v>150.30000000000001</v>
      </c>
      <c r="EP22" s="382">
        <v>129.5</v>
      </c>
      <c r="EQ22" s="382">
        <v>129.5</v>
      </c>
      <c r="ER22" s="382">
        <v>125.7</v>
      </c>
      <c r="ES22" s="382">
        <v>160.5</v>
      </c>
      <c r="ET22" s="382">
        <v>161.69999999999999</v>
      </c>
      <c r="EU22" s="382">
        <v>160.1</v>
      </c>
      <c r="EV22" s="382">
        <v>148.69999999999999</v>
      </c>
      <c r="EW22" s="382">
        <v>150.69999999999999</v>
      </c>
      <c r="EX22" s="382">
        <v>177.8</v>
      </c>
      <c r="EY22" s="382">
        <v>155.5</v>
      </c>
      <c r="EZ22" s="382">
        <v>155</v>
      </c>
      <c r="FA22" s="382">
        <v>153.9</v>
      </c>
      <c r="FB22" s="382">
        <v>163.6</v>
      </c>
      <c r="FC22" s="382">
        <v>122.4</v>
      </c>
      <c r="FD22" s="382">
        <v>118.7</v>
      </c>
      <c r="FE22" s="382">
        <v>122.8</v>
      </c>
      <c r="FF22" s="382">
        <v>126.6</v>
      </c>
      <c r="FG22" s="382">
        <v>127</v>
      </c>
      <c r="FH22" s="382">
        <v>123.9</v>
      </c>
      <c r="FI22" s="382">
        <v>136.5</v>
      </c>
      <c r="FJ22" s="382">
        <v>135.5</v>
      </c>
      <c r="FK22" s="382">
        <v>121.6</v>
      </c>
      <c r="FL22" s="382">
        <v>125.7</v>
      </c>
      <c r="FM22" s="382">
        <v>125.5</v>
      </c>
      <c r="FN22" s="382">
        <v>130.1</v>
      </c>
      <c r="FO22" s="382">
        <v>122</v>
      </c>
      <c r="FP22" s="382">
        <v>131.1</v>
      </c>
      <c r="FQ22" s="382">
        <v>120.3</v>
      </c>
      <c r="FR22" s="382">
        <v>127.6</v>
      </c>
      <c r="FS22" s="382">
        <v>138.19999999999999</v>
      </c>
      <c r="FT22" s="382">
        <v>123.2</v>
      </c>
      <c r="FU22" s="382">
        <v>118.3</v>
      </c>
      <c r="FV22" s="382">
        <v>129.80000000000001</v>
      </c>
      <c r="FW22" s="382">
        <v>125.2</v>
      </c>
      <c r="FX22" s="382">
        <v>125.3</v>
      </c>
      <c r="FY22" s="382">
        <v>133.4</v>
      </c>
      <c r="FZ22" s="382">
        <v>137.69999999999999</v>
      </c>
      <c r="GA22" s="382">
        <v>131.69999999999999</v>
      </c>
      <c r="GB22" s="382">
        <v>130.69999999999999</v>
      </c>
      <c r="GC22" s="382">
        <v>146.19999999999999</v>
      </c>
      <c r="GD22" s="382">
        <v>133.69999999999999</v>
      </c>
      <c r="GE22" s="382">
        <v>134.6</v>
      </c>
      <c r="GF22" s="373">
        <f t="shared" si="0"/>
        <v>134.25</v>
      </c>
      <c r="GG22" s="373">
        <f t="shared" si="1"/>
        <v>140.5</v>
      </c>
      <c r="GH22" s="382">
        <v>134.80000000000001</v>
      </c>
      <c r="GI22" s="382">
        <v>129.69999999999999</v>
      </c>
      <c r="GJ22" s="382">
        <v>162.9</v>
      </c>
      <c r="GK22" s="382">
        <v>150.1</v>
      </c>
      <c r="GL22" s="382">
        <v>160.69999999999999</v>
      </c>
      <c r="GM22" s="382">
        <v>149.4</v>
      </c>
      <c r="GN22" s="382">
        <v>151.4</v>
      </c>
      <c r="GO22" s="382">
        <v>152.69999999999999</v>
      </c>
      <c r="GP22" s="382">
        <v>157.1</v>
      </c>
      <c r="GQ22" s="382">
        <v>152.80000000000001</v>
      </c>
      <c r="GR22" s="382">
        <v>158.80000000000001</v>
      </c>
      <c r="GS22" s="382">
        <v>157.19999999999999</v>
      </c>
      <c r="GT22" s="382">
        <v>128</v>
      </c>
      <c r="GU22" s="382">
        <v>163.6</v>
      </c>
      <c r="GV22" s="382">
        <v>164.8</v>
      </c>
      <c r="GW22" s="382">
        <v>169</v>
      </c>
      <c r="GX22" s="382">
        <v>164.9</v>
      </c>
      <c r="GY22" s="382">
        <v>158.6</v>
      </c>
      <c r="GZ22" s="382">
        <v>163.69999999999999</v>
      </c>
      <c r="HA22" s="382">
        <v>159</v>
      </c>
      <c r="HB22" s="382">
        <v>170.6</v>
      </c>
      <c r="HC22" s="382">
        <v>169.3</v>
      </c>
      <c r="HD22" s="382">
        <v>155.9</v>
      </c>
    </row>
    <row r="23" spans="1:212" s="234" customFormat="1" ht="22.05" customHeight="1" x14ac:dyDescent="0.25">
      <c r="A23" s="381">
        <v>2005</v>
      </c>
      <c r="B23" s="382">
        <v>127.9</v>
      </c>
      <c r="C23" s="382">
        <v>125.4</v>
      </c>
      <c r="D23" s="382">
        <v>119.3</v>
      </c>
      <c r="E23" s="382">
        <v>116.6</v>
      </c>
      <c r="F23" s="382">
        <v>114.6</v>
      </c>
      <c r="G23" s="382">
        <v>185.6</v>
      </c>
      <c r="H23" s="382">
        <v>128.5</v>
      </c>
      <c r="I23" s="382">
        <v>124.1</v>
      </c>
      <c r="J23" s="382">
        <v>115.4</v>
      </c>
      <c r="K23" s="382">
        <v>119.4</v>
      </c>
      <c r="L23" s="382">
        <v>156.5</v>
      </c>
      <c r="M23" s="382">
        <v>153</v>
      </c>
      <c r="N23" s="382">
        <v>157.9</v>
      </c>
      <c r="O23" s="382">
        <v>157.1</v>
      </c>
      <c r="P23" s="382">
        <v>156.4</v>
      </c>
      <c r="Q23" s="382">
        <v>155.4</v>
      </c>
      <c r="R23" s="382">
        <v>161.1</v>
      </c>
      <c r="S23" s="382">
        <v>153.80000000000001</v>
      </c>
      <c r="T23" s="382">
        <v>179.7</v>
      </c>
      <c r="U23" s="382">
        <v>155.69999999999999</v>
      </c>
      <c r="V23" s="382">
        <v>160</v>
      </c>
      <c r="W23" s="382">
        <v>167.2</v>
      </c>
      <c r="X23" s="382">
        <v>138.30000000000001</v>
      </c>
      <c r="Y23" s="382">
        <v>141.1</v>
      </c>
      <c r="Z23" s="382">
        <v>136.4</v>
      </c>
      <c r="AA23" s="382">
        <v>160.80000000000001</v>
      </c>
      <c r="AB23" s="382">
        <v>159.4</v>
      </c>
      <c r="AC23" s="382">
        <v>159.6</v>
      </c>
      <c r="AD23" s="382">
        <v>159.1</v>
      </c>
      <c r="AE23" s="382">
        <v>160.80000000000001</v>
      </c>
      <c r="AF23" s="382">
        <v>160.9</v>
      </c>
      <c r="AG23" s="382">
        <v>164.1</v>
      </c>
      <c r="AH23" s="382">
        <v>160.5</v>
      </c>
      <c r="AI23" s="382">
        <v>149.6</v>
      </c>
      <c r="AJ23" s="382">
        <v>142.69999999999999</v>
      </c>
      <c r="AK23" s="382">
        <v>126</v>
      </c>
      <c r="AL23" s="382">
        <v>119.2</v>
      </c>
      <c r="AM23" s="382">
        <v>127.1</v>
      </c>
      <c r="AN23" s="382">
        <v>126</v>
      </c>
      <c r="AO23" s="382">
        <v>110.7</v>
      </c>
      <c r="AP23" s="382">
        <v>127.7</v>
      </c>
      <c r="AQ23" s="382">
        <v>115.7</v>
      </c>
      <c r="AR23" s="382">
        <v>131.69999999999999</v>
      </c>
      <c r="AS23" s="382">
        <v>118.9</v>
      </c>
      <c r="AT23" s="382">
        <v>116.1</v>
      </c>
      <c r="AU23" s="382">
        <v>116.9</v>
      </c>
      <c r="AV23" s="382">
        <v>181.2</v>
      </c>
      <c r="AW23" s="382">
        <v>133.80000000000001</v>
      </c>
      <c r="AX23" s="382">
        <v>132.5</v>
      </c>
      <c r="AY23" s="382">
        <v>164.4</v>
      </c>
      <c r="AZ23" s="382">
        <v>145</v>
      </c>
      <c r="BA23" s="382">
        <v>158.30000000000001</v>
      </c>
      <c r="BB23" s="382">
        <v>146.5</v>
      </c>
      <c r="BC23" s="382">
        <v>151.19999999999999</v>
      </c>
      <c r="BD23" s="382">
        <v>145.4</v>
      </c>
      <c r="BE23" s="382">
        <v>131.4</v>
      </c>
      <c r="BF23" s="382">
        <v>136.19999999999999</v>
      </c>
      <c r="BG23" s="382">
        <v>131</v>
      </c>
      <c r="BH23" s="382">
        <v>146.4</v>
      </c>
      <c r="BI23" s="382">
        <v>137.4</v>
      </c>
      <c r="BJ23" s="382">
        <v>131</v>
      </c>
      <c r="BK23" s="382">
        <v>133.80000000000001</v>
      </c>
      <c r="BL23" s="382">
        <v>135.19999999999999</v>
      </c>
      <c r="BM23" s="382">
        <v>135.69999999999999</v>
      </c>
      <c r="BN23" s="382">
        <v>142.1</v>
      </c>
      <c r="BO23" s="382">
        <v>133.5</v>
      </c>
      <c r="BP23" s="382">
        <v>129.4</v>
      </c>
      <c r="BQ23" s="382">
        <v>120</v>
      </c>
      <c r="BR23" s="382">
        <v>125.9</v>
      </c>
      <c r="BS23" s="382">
        <v>125.6</v>
      </c>
      <c r="BT23" s="382">
        <v>121.5</v>
      </c>
      <c r="BU23" s="382">
        <v>135.1</v>
      </c>
      <c r="BV23" s="382">
        <v>120.8</v>
      </c>
      <c r="BW23" s="382">
        <v>117.7</v>
      </c>
      <c r="BX23" s="382">
        <v>126.2</v>
      </c>
      <c r="BY23" s="382">
        <v>117.4</v>
      </c>
      <c r="BZ23" s="382">
        <v>131.69999999999999</v>
      </c>
      <c r="CA23" s="382">
        <v>131.4</v>
      </c>
      <c r="CB23" s="382">
        <v>135.80000000000001</v>
      </c>
      <c r="CC23" s="382">
        <v>169.6</v>
      </c>
      <c r="CD23" s="382">
        <v>161.30000000000001</v>
      </c>
      <c r="CE23" s="382">
        <v>159.6</v>
      </c>
      <c r="CF23" s="382">
        <v>162.19999999999999</v>
      </c>
      <c r="CG23" s="382">
        <v>162.30000000000001</v>
      </c>
      <c r="CH23" s="382">
        <v>159.6</v>
      </c>
      <c r="CI23" s="382">
        <v>147.6</v>
      </c>
      <c r="CJ23" s="382">
        <v>150.69999999999999</v>
      </c>
      <c r="CK23" s="382">
        <v>158.80000000000001</v>
      </c>
      <c r="CL23" s="382">
        <v>147.5</v>
      </c>
      <c r="CM23" s="382">
        <v>155.80000000000001</v>
      </c>
      <c r="CN23" s="382">
        <v>156.19999999999999</v>
      </c>
      <c r="CO23" s="382">
        <v>145.1</v>
      </c>
      <c r="CP23" s="382">
        <v>123.1</v>
      </c>
      <c r="CQ23" s="382">
        <v>134.9</v>
      </c>
      <c r="CR23" s="382">
        <v>142</v>
      </c>
      <c r="CS23" s="382">
        <v>140.6</v>
      </c>
      <c r="CT23" s="382">
        <v>157.30000000000001</v>
      </c>
      <c r="CU23" s="382">
        <v>164.6</v>
      </c>
      <c r="CV23" s="382">
        <v>152.80000000000001</v>
      </c>
      <c r="CW23" s="382">
        <v>116</v>
      </c>
      <c r="CX23" s="382">
        <v>109.9</v>
      </c>
      <c r="CY23" s="382">
        <v>151.30000000000001</v>
      </c>
      <c r="CZ23" s="382">
        <v>143.1</v>
      </c>
      <c r="DA23" s="382">
        <v>149.4</v>
      </c>
      <c r="DB23" s="382">
        <v>131.69999999999999</v>
      </c>
      <c r="DC23" s="382">
        <v>131.9</v>
      </c>
      <c r="DD23" s="382">
        <v>132.4</v>
      </c>
      <c r="DE23" s="382">
        <v>124.1</v>
      </c>
      <c r="DF23" s="382">
        <v>132.80000000000001</v>
      </c>
      <c r="DG23" s="382">
        <v>149.5</v>
      </c>
      <c r="DH23" s="382">
        <v>145.4</v>
      </c>
      <c r="DI23" s="382">
        <v>136.80000000000001</v>
      </c>
      <c r="DJ23" s="382">
        <v>136.5</v>
      </c>
      <c r="DK23" s="382">
        <v>159</v>
      </c>
      <c r="DL23" s="382">
        <v>162.4</v>
      </c>
      <c r="DM23" s="382">
        <v>163.9</v>
      </c>
      <c r="DN23" s="382">
        <v>163</v>
      </c>
      <c r="DO23" s="382">
        <v>161.5</v>
      </c>
      <c r="DP23" s="382">
        <v>130.4</v>
      </c>
      <c r="DQ23" s="382">
        <v>142.19999999999999</v>
      </c>
      <c r="DR23" s="382">
        <v>137.5</v>
      </c>
      <c r="DS23" s="382">
        <v>149.4</v>
      </c>
      <c r="DT23" s="382">
        <v>194</v>
      </c>
      <c r="DU23" s="382">
        <v>147.30000000000001</v>
      </c>
      <c r="DV23" s="382">
        <v>142.19999999999999</v>
      </c>
      <c r="DW23" s="382">
        <v>141.9</v>
      </c>
      <c r="DX23" s="382">
        <v>136.9</v>
      </c>
      <c r="DY23" s="382">
        <v>176.1</v>
      </c>
      <c r="DZ23" s="382">
        <v>110.5</v>
      </c>
      <c r="EA23" s="382">
        <v>112.1</v>
      </c>
      <c r="EB23" s="382">
        <v>112.1</v>
      </c>
      <c r="EC23" s="382">
        <v>112.1</v>
      </c>
      <c r="ED23" s="382">
        <v>111.1</v>
      </c>
      <c r="EE23" s="382">
        <v>125.3</v>
      </c>
      <c r="EF23" s="382">
        <v>144.4</v>
      </c>
      <c r="EG23" s="382">
        <v>137.69999999999999</v>
      </c>
      <c r="EH23" s="382">
        <v>136.80000000000001</v>
      </c>
      <c r="EI23" s="382">
        <v>147.9</v>
      </c>
      <c r="EJ23" s="382">
        <v>138</v>
      </c>
      <c r="EK23" s="382">
        <v>134.5</v>
      </c>
      <c r="EL23" s="382">
        <v>143.30000000000001</v>
      </c>
      <c r="EM23" s="382">
        <v>134.80000000000001</v>
      </c>
      <c r="EN23" s="382">
        <v>145.5</v>
      </c>
      <c r="EO23" s="382">
        <v>141.1</v>
      </c>
      <c r="EP23" s="382">
        <v>121.6</v>
      </c>
      <c r="EQ23" s="382">
        <v>121.6</v>
      </c>
      <c r="ER23" s="382">
        <v>117.8</v>
      </c>
      <c r="ES23" s="382">
        <v>150.9</v>
      </c>
      <c r="ET23" s="382">
        <v>152.19999999999999</v>
      </c>
      <c r="EU23" s="382">
        <v>150.19999999999999</v>
      </c>
      <c r="EV23" s="382">
        <v>140.6</v>
      </c>
      <c r="EW23" s="382">
        <v>141.5</v>
      </c>
      <c r="EX23" s="382">
        <v>166.4</v>
      </c>
      <c r="EY23" s="382">
        <v>146.6</v>
      </c>
      <c r="EZ23" s="382">
        <v>145.5</v>
      </c>
      <c r="FA23" s="382">
        <v>142.9</v>
      </c>
      <c r="FB23" s="382">
        <v>155.6</v>
      </c>
      <c r="FC23" s="382">
        <v>110.2</v>
      </c>
      <c r="FD23" s="382">
        <v>109.6</v>
      </c>
      <c r="FE23" s="382">
        <v>115.2</v>
      </c>
      <c r="FF23" s="382">
        <v>118.5</v>
      </c>
      <c r="FG23" s="382">
        <v>116</v>
      </c>
      <c r="FH23" s="382">
        <v>115.1</v>
      </c>
      <c r="FI23" s="382">
        <v>128.6</v>
      </c>
      <c r="FJ23" s="382">
        <v>127.9</v>
      </c>
      <c r="FK23" s="382">
        <v>113.8</v>
      </c>
      <c r="FL23" s="382">
        <v>117.3</v>
      </c>
      <c r="FM23" s="382">
        <v>117.9</v>
      </c>
      <c r="FN23" s="382">
        <v>121.3</v>
      </c>
      <c r="FO23" s="382">
        <v>114.4</v>
      </c>
      <c r="FP23" s="382">
        <v>123.7</v>
      </c>
      <c r="FQ23" s="382">
        <v>112.5</v>
      </c>
      <c r="FR23" s="382">
        <v>119.4</v>
      </c>
      <c r="FS23" s="382">
        <v>129</v>
      </c>
      <c r="FT23" s="382">
        <v>115.5</v>
      </c>
      <c r="FU23" s="382">
        <v>110.5</v>
      </c>
      <c r="FV23" s="382">
        <v>121.3</v>
      </c>
      <c r="FW23" s="382">
        <v>116.1</v>
      </c>
      <c r="FX23" s="382">
        <v>117.3</v>
      </c>
      <c r="FY23" s="382">
        <v>126</v>
      </c>
      <c r="FZ23" s="382">
        <v>129.4</v>
      </c>
      <c r="GA23" s="382">
        <v>124.6</v>
      </c>
      <c r="GB23" s="382">
        <v>123.8</v>
      </c>
      <c r="GC23" s="382">
        <v>136.5</v>
      </c>
      <c r="GD23" s="382">
        <v>123.5</v>
      </c>
      <c r="GE23" s="382">
        <v>124.4</v>
      </c>
      <c r="GF23" s="373">
        <f t="shared" si="0"/>
        <v>124.45</v>
      </c>
      <c r="GG23" s="373">
        <f t="shared" si="1"/>
        <v>130.94999999999999</v>
      </c>
      <c r="GH23" s="382">
        <v>125.4</v>
      </c>
      <c r="GI23" s="382">
        <v>112.2</v>
      </c>
      <c r="GJ23" s="382">
        <v>153.9</v>
      </c>
      <c r="GK23" s="382">
        <v>141.9</v>
      </c>
      <c r="GL23" s="382">
        <v>151.5</v>
      </c>
      <c r="GM23" s="382">
        <v>140.80000000000001</v>
      </c>
      <c r="GN23" s="382">
        <v>141</v>
      </c>
      <c r="GO23" s="382">
        <v>144.4</v>
      </c>
      <c r="GP23" s="382">
        <v>148.30000000000001</v>
      </c>
      <c r="GQ23" s="382">
        <v>145.19999999999999</v>
      </c>
      <c r="GR23" s="382">
        <v>148.4</v>
      </c>
      <c r="GS23" s="382">
        <v>147.9</v>
      </c>
      <c r="GT23" s="382">
        <v>118.9</v>
      </c>
      <c r="GU23" s="382">
        <v>154.4</v>
      </c>
      <c r="GV23" s="382">
        <v>155.69999999999999</v>
      </c>
      <c r="GW23" s="382">
        <v>160</v>
      </c>
      <c r="GX23" s="382">
        <v>156.19999999999999</v>
      </c>
      <c r="GY23" s="382">
        <v>149.19999999999999</v>
      </c>
      <c r="GZ23" s="382">
        <v>155.1</v>
      </c>
      <c r="HA23" s="382">
        <v>150.1</v>
      </c>
      <c r="HB23" s="382">
        <v>162.6</v>
      </c>
      <c r="HC23" s="382">
        <v>159.4</v>
      </c>
      <c r="HD23" s="382">
        <v>146.9</v>
      </c>
    </row>
    <row r="24" spans="1:212" s="234" customFormat="1" ht="22.05" customHeight="1" x14ac:dyDescent="0.25">
      <c r="A24" s="381">
        <v>2004</v>
      </c>
      <c r="B24" s="382">
        <v>115.9</v>
      </c>
      <c r="C24" s="382">
        <v>112.9</v>
      </c>
      <c r="D24" s="382">
        <v>107</v>
      </c>
      <c r="E24" s="382">
        <v>104.9</v>
      </c>
      <c r="F24" s="382">
        <v>102.9</v>
      </c>
      <c r="G24" s="382">
        <v>167</v>
      </c>
      <c r="H24" s="382">
        <v>116.5</v>
      </c>
      <c r="I24" s="382">
        <v>113.6</v>
      </c>
      <c r="J24" s="382">
        <v>103.8</v>
      </c>
      <c r="K24" s="382">
        <v>108.6</v>
      </c>
      <c r="L24" s="382">
        <v>142.1</v>
      </c>
      <c r="M24" s="382">
        <v>139.5</v>
      </c>
      <c r="N24" s="382">
        <v>143.80000000000001</v>
      </c>
      <c r="O24" s="382">
        <v>142</v>
      </c>
      <c r="P24" s="382">
        <v>140.9</v>
      </c>
      <c r="Q24" s="382">
        <v>141</v>
      </c>
      <c r="R24" s="382">
        <v>147.19999999999999</v>
      </c>
      <c r="S24" s="382">
        <v>139</v>
      </c>
      <c r="T24" s="382">
        <v>163.6</v>
      </c>
      <c r="U24" s="382">
        <v>141.4</v>
      </c>
      <c r="V24" s="382">
        <v>144.19999999999999</v>
      </c>
      <c r="W24" s="382">
        <v>148.6</v>
      </c>
      <c r="X24" s="382">
        <v>125.6</v>
      </c>
      <c r="Y24" s="382">
        <v>127.2</v>
      </c>
      <c r="Z24" s="382">
        <v>123.5</v>
      </c>
      <c r="AA24" s="382">
        <v>143.6</v>
      </c>
      <c r="AB24" s="382">
        <v>142.9</v>
      </c>
      <c r="AC24" s="382">
        <v>142.4</v>
      </c>
      <c r="AD24" s="382">
        <v>142.69999999999999</v>
      </c>
      <c r="AE24" s="382">
        <v>144.30000000000001</v>
      </c>
      <c r="AF24" s="382">
        <v>143.6</v>
      </c>
      <c r="AG24" s="382">
        <v>146.5</v>
      </c>
      <c r="AH24" s="382">
        <v>143.19999999999999</v>
      </c>
      <c r="AI24" s="382">
        <v>136.1</v>
      </c>
      <c r="AJ24" s="382">
        <v>126.8</v>
      </c>
      <c r="AK24" s="382">
        <v>114.8</v>
      </c>
      <c r="AL24" s="382">
        <v>107.8</v>
      </c>
      <c r="AM24" s="382">
        <v>115.6</v>
      </c>
      <c r="AN24" s="382">
        <v>113.2</v>
      </c>
      <c r="AO24" s="382">
        <v>100.6</v>
      </c>
      <c r="AP24" s="382">
        <v>116.6</v>
      </c>
      <c r="AQ24" s="382">
        <v>102.8</v>
      </c>
      <c r="AR24" s="382">
        <v>119.6</v>
      </c>
      <c r="AS24" s="382">
        <v>102</v>
      </c>
      <c r="AT24" s="382">
        <v>105</v>
      </c>
      <c r="AU24" s="382">
        <v>105.6</v>
      </c>
      <c r="AV24" s="382">
        <v>161.19999999999999</v>
      </c>
      <c r="AW24" s="382">
        <v>122</v>
      </c>
      <c r="AX24" s="382">
        <v>120.5</v>
      </c>
      <c r="AY24" s="382">
        <v>149.30000000000001</v>
      </c>
      <c r="AZ24" s="382">
        <v>129.30000000000001</v>
      </c>
      <c r="BA24" s="382">
        <v>145.1</v>
      </c>
      <c r="BB24" s="382">
        <v>133.9</v>
      </c>
      <c r="BC24" s="382">
        <v>138.1</v>
      </c>
      <c r="BD24" s="382">
        <v>130.30000000000001</v>
      </c>
      <c r="BE24" s="382">
        <v>120.9</v>
      </c>
      <c r="BF24" s="382">
        <v>123.5</v>
      </c>
      <c r="BG24" s="382">
        <v>120.1</v>
      </c>
      <c r="BH24" s="382">
        <v>132.19999999999999</v>
      </c>
      <c r="BI24" s="382">
        <v>125</v>
      </c>
      <c r="BJ24" s="382">
        <v>120</v>
      </c>
      <c r="BK24" s="382">
        <v>120.6</v>
      </c>
      <c r="BL24" s="382">
        <v>123</v>
      </c>
      <c r="BM24" s="382">
        <v>122.7</v>
      </c>
      <c r="BN24" s="382">
        <v>128.6</v>
      </c>
      <c r="BO24" s="382">
        <v>121.6</v>
      </c>
      <c r="BP24" s="382">
        <v>116.2</v>
      </c>
      <c r="BQ24" s="382">
        <v>108.3</v>
      </c>
      <c r="BR24" s="382">
        <v>112.6</v>
      </c>
      <c r="BS24" s="382">
        <v>113.4</v>
      </c>
      <c r="BT24" s="382">
        <v>110.1</v>
      </c>
      <c r="BU24" s="382">
        <v>120.3</v>
      </c>
      <c r="BV24" s="382">
        <v>105.6</v>
      </c>
      <c r="BW24" s="382">
        <v>109</v>
      </c>
      <c r="BX24" s="382">
        <v>115.3</v>
      </c>
      <c r="BY24" s="382">
        <v>105.7</v>
      </c>
      <c r="BZ24" s="382">
        <v>119.8</v>
      </c>
      <c r="CA24" s="382">
        <v>119.4</v>
      </c>
      <c r="CB24" s="382">
        <v>121.4</v>
      </c>
      <c r="CC24" s="382">
        <v>154.1</v>
      </c>
      <c r="CD24" s="382">
        <v>144.4</v>
      </c>
      <c r="CE24" s="382">
        <v>143.6</v>
      </c>
      <c r="CF24" s="382">
        <v>146.4</v>
      </c>
      <c r="CG24" s="382">
        <v>146.69999999999999</v>
      </c>
      <c r="CH24" s="382">
        <v>143.6</v>
      </c>
      <c r="CI24" s="382">
        <v>131.9</v>
      </c>
      <c r="CJ24" s="382">
        <v>136.5</v>
      </c>
      <c r="CK24" s="382">
        <v>143.19999999999999</v>
      </c>
      <c r="CL24" s="382">
        <v>135.9</v>
      </c>
      <c r="CM24" s="382">
        <v>142.1</v>
      </c>
      <c r="CN24" s="382">
        <v>141.9</v>
      </c>
      <c r="CO24" s="382">
        <v>129.6</v>
      </c>
      <c r="CP24" s="382">
        <v>112.8</v>
      </c>
      <c r="CQ24" s="382">
        <v>122.5</v>
      </c>
      <c r="CR24" s="382">
        <v>129.69999999999999</v>
      </c>
      <c r="CS24" s="382">
        <v>127.6</v>
      </c>
      <c r="CT24" s="382">
        <v>139.1</v>
      </c>
      <c r="CU24" s="382">
        <v>150.1</v>
      </c>
      <c r="CV24" s="382">
        <v>137</v>
      </c>
      <c r="CW24" s="382">
        <v>105.3</v>
      </c>
      <c r="CX24" s="382">
        <v>99.3</v>
      </c>
      <c r="CY24" s="382">
        <v>135.1</v>
      </c>
      <c r="CZ24" s="382">
        <v>126.9</v>
      </c>
      <c r="DA24" s="382">
        <v>135.5</v>
      </c>
      <c r="DB24" s="382">
        <v>116.3</v>
      </c>
      <c r="DC24" s="382">
        <v>118.2</v>
      </c>
      <c r="DD24" s="382">
        <v>117.9</v>
      </c>
      <c r="DE24" s="382">
        <v>112.1</v>
      </c>
      <c r="DF24" s="382">
        <v>119.4</v>
      </c>
      <c r="DG24" s="382">
        <v>137.1</v>
      </c>
      <c r="DH24" s="382">
        <v>130.5</v>
      </c>
      <c r="DI24" s="382">
        <v>124.2</v>
      </c>
      <c r="DJ24" s="382">
        <v>123.9</v>
      </c>
      <c r="DK24" s="382">
        <v>143.4</v>
      </c>
      <c r="DL24" s="382">
        <v>145.4</v>
      </c>
      <c r="DM24" s="382">
        <v>147.19999999999999</v>
      </c>
      <c r="DN24" s="382">
        <v>146.6</v>
      </c>
      <c r="DO24" s="382">
        <v>146</v>
      </c>
      <c r="DP24" s="382">
        <v>118.3</v>
      </c>
      <c r="DQ24" s="382">
        <v>128.6</v>
      </c>
      <c r="DR24" s="382">
        <v>123.5</v>
      </c>
      <c r="DS24" s="382">
        <v>136.1</v>
      </c>
      <c r="DT24" s="382">
        <v>177.7</v>
      </c>
      <c r="DU24" s="382">
        <v>132</v>
      </c>
      <c r="DV24" s="382">
        <v>128.4</v>
      </c>
      <c r="DW24" s="382">
        <v>127.3</v>
      </c>
      <c r="DX24" s="382">
        <v>124.4</v>
      </c>
      <c r="DY24" s="382">
        <v>161.80000000000001</v>
      </c>
      <c r="DZ24" s="382">
        <v>98.9</v>
      </c>
      <c r="EA24" s="382">
        <v>100</v>
      </c>
      <c r="EB24" s="382">
        <v>100.1</v>
      </c>
      <c r="EC24" s="382">
        <v>100.3</v>
      </c>
      <c r="ED24" s="382">
        <v>99.4</v>
      </c>
      <c r="EE24" s="382">
        <v>113</v>
      </c>
      <c r="EF24" s="382">
        <v>131.9</v>
      </c>
      <c r="EG24" s="382">
        <v>125.6</v>
      </c>
      <c r="EH24" s="382">
        <v>124.3</v>
      </c>
      <c r="EI24" s="382">
        <v>135.6</v>
      </c>
      <c r="EJ24" s="382">
        <v>126.2</v>
      </c>
      <c r="EK24" s="382">
        <v>121.1</v>
      </c>
      <c r="EL24" s="382">
        <v>131.5</v>
      </c>
      <c r="EM24" s="382">
        <v>122</v>
      </c>
      <c r="EN24" s="382">
        <v>132.80000000000001</v>
      </c>
      <c r="EO24" s="382">
        <v>129.30000000000001</v>
      </c>
      <c r="EP24" s="382">
        <v>109.3</v>
      </c>
      <c r="EQ24" s="382">
        <v>109.4</v>
      </c>
      <c r="ER24" s="382">
        <v>107.3</v>
      </c>
      <c r="ES24" s="382">
        <v>136.80000000000001</v>
      </c>
      <c r="ET24" s="382">
        <v>137.80000000000001</v>
      </c>
      <c r="EU24" s="382">
        <v>133.9</v>
      </c>
      <c r="EV24" s="382">
        <v>127</v>
      </c>
      <c r="EW24" s="382">
        <v>126.2</v>
      </c>
      <c r="EX24" s="382">
        <v>148.4</v>
      </c>
      <c r="EY24" s="382">
        <v>133.1</v>
      </c>
      <c r="EZ24" s="382">
        <v>128.69999999999999</v>
      </c>
      <c r="FA24" s="382">
        <v>129</v>
      </c>
      <c r="FB24" s="382">
        <v>138.80000000000001</v>
      </c>
      <c r="FC24" s="382">
        <v>98.9</v>
      </c>
      <c r="FD24" s="382">
        <v>98.4</v>
      </c>
      <c r="FE24" s="382">
        <v>103.9</v>
      </c>
      <c r="FF24" s="382">
        <v>107.3</v>
      </c>
      <c r="FG24" s="382">
        <v>105</v>
      </c>
      <c r="FH24" s="382">
        <v>104.5</v>
      </c>
      <c r="FI24" s="382">
        <v>115.6</v>
      </c>
      <c r="FJ24" s="382">
        <v>115.8</v>
      </c>
      <c r="FK24" s="382">
        <v>102.9</v>
      </c>
      <c r="FL24" s="382">
        <v>106.3</v>
      </c>
      <c r="FM24" s="382">
        <v>105.7</v>
      </c>
      <c r="FN24" s="382">
        <v>108.5</v>
      </c>
      <c r="FO24" s="382">
        <v>102.9</v>
      </c>
      <c r="FP24" s="382">
        <v>112</v>
      </c>
      <c r="FQ24" s="382">
        <v>101.5</v>
      </c>
      <c r="FR24" s="382">
        <v>108.4</v>
      </c>
      <c r="FS24" s="382">
        <v>115.9</v>
      </c>
      <c r="FT24" s="382">
        <v>104.7</v>
      </c>
      <c r="FU24" s="382">
        <v>99.9</v>
      </c>
      <c r="FV24" s="382">
        <v>108.4</v>
      </c>
      <c r="FW24" s="382">
        <v>104.8</v>
      </c>
      <c r="FX24" s="382">
        <v>105.1</v>
      </c>
      <c r="FY24" s="382">
        <v>115.2</v>
      </c>
      <c r="FZ24" s="382">
        <v>117.8</v>
      </c>
      <c r="GA24" s="382">
        <v>113</v>
      </c>
      <c r="GB24" s="382">
        <v>112.3</v>
      </c>
      <c r="GC24" s="382">
        <v>121.5</v>
      </c>
      <c r="GD24" s="382">
        <v>108.9</v>
      </c>
      <c r="GE24" s="382">
        <v>110.2</v>
      </c>
      <c r="GF24" s="373">
        <f t="shared" si="0"/>
        <v>109.9</v>
      </c>
      <c r="GG24" s="373">
        <f t="shared" si="1"/>
        <v>116.2</v>
      </c>
      <c r="GH24" s="382">
        <v>110.9</v>
      </c>
      <c r="GI24" s="382">
        <v>99.7</v>
      </c>
      <c r="GJ24" s="382">
        <v>138</v>
      </c>
      <c r="GK24" s="382">
        <v>127.6</v>
      </c>
      <c r="GL24" s="382">
        <v>134.5</v>
      </c>
      <c r="GM24" s="382">
        <v>124.8</v>
      </c>
      <c r="GN24" s="382">
        <v>125.6</v>
      </c>
      <c r="GO24" s="382">
        <v>128.9</v>
      </c>
      <c r="GP24" s="382">
        <v>132.4</v>
      </c>
      <c r="GQ24" s="382">
        <v>129.69999999999999</v>
      </c>
      <c r="GR24" s="382">
        <v>134.19999999999999</v>
      </c>
      <c r="GS24" s="382">
        <v>132.69999999999999</v>
      </c>
      <c r="GT24" s="382">
        <v>104.7</v>
      </c>
      <c r="GU24" s="382">
        <v>138.80000000000001</v>
      </c>
      <c r="GV24" s="382">
        <v>139.4</v>
      </c>
      <c r="GW24" s="382">
        <v>142.6</v>
      </c>
      <c r="GX24" s="382">
        <v>140.4</v>
      </c>
      <c r="GY24" s="382">
        <v>134.5</v>
      </c>
      <c r="GZ24" s="382">
        <v>141</v>
      </c>
      <c r="HA24" s="382">
        <v>135.69999999999999</v>
      </c>
      <c r="HB24" s="382">
        <v>146</v>
      </c>
      <c r="HC24" s="382">
        <v>141.69999999999999</v>
      </c>
      <c r="HD24" s="382">
        <v>129.69999999999999</v>
      </c>
    </row>
    <row r="25" spans="1:212" s="234" customFormat="1" ht="22.05" customHeight="1" x14ac:dyDescent="0.25">
      <c r="A25" s="381">
        <v>2003</v>
      </c>
      <c r="B25" s="382">
        <v>113.1</v>
      </c>
      <c r="C25" s="382">
        <v>110.7</v>
      </c>
      <c r="D25" s="382">
        <v>104.8</v>
      </c>
      <c r="E25" s="382">
        <v>102.6</v>
      </c>
      <c r="F25" s="382">
        <v>100.8</v>
      </c>
      <c r="G25" s="382">
        <v>163.5</v>
      </c>
      <c r="H25" s="382">
        <v>113.9</v>
      </c>
      <c r="I25" s="382">
        <v>110.6</v>
      </c>
      <c r="J25" s="382">
        <v>101.8</v>
      </c>
      <c r="K25" s="382">
        <v>105.8</v>
      </c>
      <c r="L25" s="382">
        <v>139.4</v>
      </c>
      <c r="M25" s="382">
        <v>137.19999999999999</v>
      </c>
      <c r="N25" s="382">
        <v>142.1</v>
      </c>
      <c r="O25" s="382">
        <v>139.6</v>
      </c>
      <c r="P25" s="382">
        <v>138.69999999999999</v>
      </c>
      <c r="Q25" s="382">
        <v>138.69999999999999</v>
      </c>
      <c r="R25" s="382">
        <v>144.9</v>
      </c>
      <c r="S25" s="382">
        <v>136.6</v>
      </c>
      <c r="T25" s="382">
        <v>162.1</v>
      </c>
      <c r="U25" s="382">
        <v>139.19999999999999</v>
      </c>
      <c r="V25" s="382">
        <v>141.80000000000001</v>
      </c>
      <c r="W25" s="382">
        <v>146.4</v>
      </c>
      <c r="X25" s="382">
        <v>123.1</v>
      </c>
      <c r="Y25" s="382">
        <v>123.7</v>
      </c>
      <c r="Z25" s="382">
        <v>120.7</v>
      </c>
      <c r="AA25" s="382">
        <v>141.30000000000001</v>
      </c>
      <c r="AB25" s="382">
        <v>140.19999999999999</v>
      </c>
      <c r="AC25" s="382">
        <v>140.30000000000001</v>
      </c>
      <c r="AD25" s="382">
        <v>140</v>
      </c>
      <c r="AE25" s="382">
        <v>141.6</v>
      </c>
      <c r="AF25" s="382">
        <v>140.6</v>
      </c>
      <c r="AG25" s="382">
        <v>145.1</v>
      </c>
      <c r="AH25" s="382">
        <v>140.80000000000001</v>
      </c>
      <c r="AI25" s="382">
        <v>133</v>
      </c>
      <c r="AJ25" s="382">
        <v>124.6</v>
      </c>
      <c r="AK25" s="382">
        <v>109</v>
      </c>
      <c r="AL25" s="382">
        <v>105.6</v>
      </c>
      <c r="AM25" s="382">
        <v>110.5</v>
      </c>
      <c r="AN25" s="382">
        <v>107.8</v>
      </c>
      <c r="AO25" s="382">
        <v>98</v>
      </c>
      <c r="AP25" s="382">
        <v>103.5</v>
      </c>
      <c r="AQ25" s="382">
        <v>100.5</v>
      </c>
      <c r="AR25" s="382">
        <v>115.8</v>
      </c>
      <c r="AS25" s="382">
        <v>99.1</v>
      </c>
      <c r="AT25" s="382">
        <v>102.7</v>
      </c>
      <c r="AU25" s="382">
        <v>103</v>
      </c>
      <c r="AV25" s="382">
        <v>159.4</v>
      </c>
      <c r="AW25" s="382">
        <v>120.2</v>
      </c>
      <c r="AX25" s="382">
        <v>118.7</v>
      </c>
      <c r="AY25" s="382">
        <v>146.19999999999999</v>
      </c>
      <c r="AZ25" s="382">
        <v>127.4</v>
      </c>
      <c r="BA25" s="382">
        <v>143.5</v>
      </c>
      <c r="BB25" s="382">
        <v>132.4</v>
      </c>
      <c r="BC25" s="382">
        <v>137.30000000000001</v>
      </c>
      <c r="BD25" s="382">
        <v>128.4</v>
      </c>
      <c r="BE25" s="382">
        <v>119.7</v>
      </c>
      <c r="BF25" s="382">
        <v>121.4</v>
      </c>
      <c r="BG25" s="382">
        <v>118.2</v>
      </c>
      <c r="BH25" s="382">
        <v>131.4</v>
      </c>
      <c r="BI25" s="382">
        <v>122.5</v>
      </c>
      <c r="BJ25" s="382">
        <v>118.7</v>
      </c>
      <c r="BK25" s="382">
        <v>119.2</v>
      </c>
      <c r="BL25" s="382">
        <v>121.7</v>
      </c>
      <c r="BM25" s="382">
        <v>120.9</v>
      </c>
      <c r="BN25" s="382">
        <v>126.4</v>
      </c>
      <c r="BO25" s="382">
        <v>120.2</v>
      </c>
      <c r="BP25" s="382">
        <v>114.6</v>
      </c>
      <c r="BQ25" s="382">
        <v>105.9</v>
      </c>
      <c r="BR25" s="382">
        <v>109.4</v>
      </c>
      <c r="BS25" s="382">
        <v>111.3</v>
      </c>
      <c r="BT25" s="382">
        <v>107.8</v>
      </c>
      <c r="BU25" s="382">
        <v>118.7</v>
      </c>
      <c r="BV25" s="382">
        <v>103.3</v>
      </c>
      <c r="BW25" s="382">
        <v>106.1</v>
      </c>
      <c r="BX25" s="382">
        <v>112.4</v>
      </c>
      <c r="BY25" s="382">
        <v>103.9</v>
      </c>
      <c r="BZ25" s="382">
        <v>117.7</v>
      </c>
      <c r="CA25" s="382">
        <v>117.3</v>
      </c>
      <c r="CB25" s="382">
        <v>118.1</v>
      </c>
      <c r="CC25" s="382">
        <v>150.19999999999999</v>
      </c>
      <c r="CD25" s="382">
        <v>139.6</v>
      </c>
      <c r="CE25" s="382">
        <v>140.6</v>
      </c>
      <c r="CF25" s="382">
        <v>143.30000000000001</v>
      </c>
      <c r="CG25" s="382">
        <v>143.6</v>
      </c>
      <c r="CH25" s="382">
        <v>140.5</v>
      </c>
      <c r="CI25" s="382">
        <v>128.9</v>
      </c>
      <c r="CJ25" s="382">
        <v>133.80000000000001</v>
      </c>
      <c r="CK25" s="382">
        <v>139</v>
      </c>
      <c r="CL25" s="382">
        <v>134.1</v>
      </c>
      <c r="CM25" s="382">
        <v>139</v>
      </c>
      <c r="CN25" s="382">
        <v>138.69999999999999</v>
      </c>
      <c r="CO25" s="382">
        <v>127.9</v>
      </c>
      <c r="CP25" s="382">
        <v>110.9</v>
      </c>
      <c r="CQ25" s="382">
        <v>120.8</v>
      </c>
      <c r="CR25" s="382">
        <v>127.7</v>
      </c>
      <c r="CS25" s="382">
        <v>126</v>
      </c>
      <c r="CT25" s="382">
        <v>136.69999999999999</v>
      </c>
      <c r="CU25" s="382">
        <v>146.5</v>
      </c>
      <c r="CV25" s="382">
        <v>134.5</v>
      </c>
      <c r="CW25" s="382">
        <v>101.4</v>
      </c>
      <c r="CX25" s="382">
        <v>96.7</v>
      </c>
      <c r="CY25" s="382">
        <v>131.9</v>
      </c>
      <c r="CZ25" s="382">
        <v>124.8</v>
      </c>
      <c r="DA25" s="382">
        <v>133.30000000000001</v>
      </c>
      <c r="DB25" s="382">
        <v>113.9</v>
      </c>
      <c r="DC25" s="382">
        <v>115.8</v>
      </c>
      <c r="DD25" s="382">
        <v>115.8</v>
      </c>
      <c r="DE25" s="382">
        <v>110.2</v>
      </c>
      <c r="DF25" s="382">
        <v>117.3</v>
      </c>
      <c r="DG25" s="382">
        <v>133.80000000000001</v>
      </c>
      <c r="DH25" s="382">
        <v>128.30000000000001</v>
      </c>
      <c r="DI25" s="382">
        <v>122.4</v>
      </c>
      <c r="DJ25" s="382">
        <v>122.2</v>
      </c>
      <c r="DK25" s="382">
        <v>142</v>
      </c>
      <c r="DL25" s="382">
        <v>144.30000000000001</v>
      </c>
      <c r="DM25" s="382">
        <v>145.69999999999999</v>
      </c>
      <c r="DN25" s="382">
        <v>145</v>
      </c>
      <c r="DO25" s="382">
        <v>143</v>
      </c>
      <c r="DP25" s="382">
        <v>116.4</v>
      </c>
      <c r="DQ25" s="382">
        <v>126.8</v>
      </c>
      <c r="DR25" s="382">
        <v>121.8</v>
      </c>
      <c r="DS25" s="382">
        <v>132.80000000000001</v>
      </c>
      <c r="DT25" s="382">
        <v>173.4</v>
      </c>
      <c r="DU25" s="382">
        <v>130.30000000000001</v>
      </c>
      <c r="DV25" s="382">
        <v>126.7</v>
      </c>
      <c r="DW25" s="382">
        <v>124.7</v>
      </c>
      <c r="DX25" s="382">
        <v>121.7</v>
      </c>
      <c r="DY25" s="382">
        <v>160</v>
      </c>
      <c r="DZ25" s="382">
        <v>96.2</v>
      </c>
      <c r="EA25" s="382">
        <v>97.5</v>
      </c>
      <c r="EB25" s="382">
        <v>97.5</v>
      </c>
      <c r="EC25" s="382">
        <v>97.8</v>
      </c>
      <c r="ED25" s="382">
        <v>96.8</v>
      </c>
      <c r="EE25" s="382">
        <v>110.6</v>
      </c>
      <c r="EF25" s="382">
        <v>129.6</v>
      </c>
      <c r="EG25" s="382">
        <v>123.7</v>
      </c>
      <c r="EH25" s="382">
        <v>121.3</v>
      </c>
      <c r="EI25" s="382">
        <v>132.69999999999999</v>
      </c>
      <c r="EJ25" s="382">
        <v>123.7</v>
      </c>
      <c r="EK25" s="382">
        <v>119.4</v>
      </c>
      <c r="EL25" s="382">
        <v>126.1</v>
      </c>
      <c r="EM25" s="382">
        <v>120</v>
      </c>
      <c r="EN25" s="382">
        <v>130.4</v>
      </c>
      <c r="EO25" s="382">
        <v>126.2</v>
      </c>
      <c r="EP25" s="382">
        <v>107.5</v>
      </c>
      <c r="EQ25" s="382">
        <v>107.8</v>
      </c>
      <c r="ER25" s="382">
        <v>105</v>
      </c>
      <c r="ES25" s="382">
        <v>134.19999999999999</v>
      </c>
      <c r="ET25" s="382">
        <v>135.9</v>
      </c>
      <c r="EU25" s="382">
        <v>130.30000000000001</v>
      </c>
      <c r="EV25" s="382">
        <v>124.5</v>
      </c>
      <c r="EW25" s="382">
        <v>123.8</v>
      </c>
      <c r="EX25" s="382">
        <v>145.5</v>
      </c>
      <c r="EY25" s="382">
        <v>130.5</v>
      </c>
      <c r="EZ25" s="382">
        <v>126.3</v>
      </c>
      <c r="FA25" s="382">
        <v>126</v>
      </c>
      <c r="FB25" s="382">
        <v>135.9</v>
      </c>
      <c r="FC25" s="382">
        <v>96.1</v>
      </c>
      <c r="FD25" s="382">
        <v>95.7</v>
      </c>
      <c r="FE25" s="382">
        <v>101.3</v>
      </c>
      <c r="FF25" s="382">
        <v>104</v>
      </c>
      <c r="FG25" s="382">
        <v>102.8</v>
      </c>
      <c r="FH25" s="382">
        <v>102.3</v>
      </c>
      <c r="FI25" s="382">
        <v>111.1</v>
      </c>
      <c r="FJ25" s="382">
        <v>110.9</v>
      </c>
      <c r="FK25" s="382">
        <v>100.5</v>
      </c>
      <c r="FL25" s="382">
        <v>104.4</v>
      </c>
      <c r="FM25" s="382">
        <v>103.9</v>
      </c>
      <c r="FN25" s="382">
        <v>106.1</v>
      </c>
      <c r="FO25" s="382">
        <v>100.4</v>
      </c>
      <c r="FP25" s="382">
        <v>109.3</v>
      </c>
      <c r="FQ25" s="382">
        <v>99.5</v>
      </c>
      <c r="FR25" s="382">
        <v>105.5</v>
      </c>
      <c r="FS25" s="382">
        <v>113.4</v>
      </c>
      <c r="FT25" s="382">
        <v>102.3</v>
      </c>
      <c r="FU25" s="382">
        <v>97.6</v>
      </c>
      <c r="FV25" s="382">
        <v>104.8</v>
      </c>
      <c r="FW25" s="382">
        <v>102.7</v>
      </c>
      <c r="FX25" s="382">
        <v>103</v>
      </c>
      <c r="FY25" s="382">
        <v>112.7</v>
      </c>
      <c r="FZ25" s="382">
        <v>116</v>
      </c>
      <c r="GA25" s="382">
        <v>110.7</v>
      </c>
      <c r="GB25" s="382">
        <v>110.1</v>
      </c>
      <c r="GC25" s="382">
        <v>119.5</v>
      </c>
      <c r="GD25" s="382">
        <v>104.8</v>
      </c>
      <c r="GE25" s="382">
        <v>106.2</v>
      </c>
      <c r="GF25" s="373">
        <f t="shared" si="0"/>
        <v>106.69999999999999</v>
      </c>
      <c r="GG25" s="373">
        <f t="shared" si="1"/>
        <v>114.05</v>
      </c>
      <c r="GH25" s="382">
        <v>108.6</v>
      </c>
      <c r="GI25" s="382">
        <v>97</v>
      </c>
      <c r="GJ25" s="382">
        <v>134.9</v>
      </c>
      <c r="GK25" s="382">
        <v>125.9</v>
      </c>
      <c r="GL25" s="382">
        <v>133</v>
      </c>
      <c r="GM25" s="382">
        <v>123.3</v>
      </c>
      <c r="GN25" s="382">
        <v>123.6</v>
      </c>
      <c r="GO25" s="382">
        <v>127.4</v>
      </c>
      <c r="GP25" s="382">
        <v>130.9</v>
      </c>
      <c r="GQ25" s="382">
        <v>128.4</v>
      </c>
      <c r="GR25" s="382">
        <v>131.1</v>
      </c>
      <c r="GS25" s="382">
        <v>131.5</v>
      </c>
      <c r="GT25" s="382">
        <v>102.6</v>
      </c>
      <c r="GU25" s="382">
        <v>133.6</v>
      </c>
      <c r="GV25" s="382">
        <v>134.19999999999999</v>
      </c>
      <c r="GW25" s="382">
        <v>139.1</v>
      </c>
      <c r="GX25" s="382">
        <v>137</v>
      </c>
      <c r="GY25" s="382">
        <v>130.19999999999999</v>
      </c>
      <c r="GZ25" s="382">
        <v>137.4</v>
      </c>
      <c r="HA25" s="382">
        <v>131.4</v>
      </c>
      <c r="HB25" s="382">
        <v>142.30000000000001</v>
      </c>
      <c r="HC25" s="382">
        <v>137</v>
      </c>
      <c r="HD25" s="382">
        <v>124.4</v>
      </c>
    </row>
    <row r="26" spans="1:212" s="234" customFormat="1" ht="22.05" customHeight="1" x14ac:dyDescent="0.25">
      <c r="A26" s="381">
        <v>2002</v>
      </c>
      <c r="B26" s="382">
        <v>110</v>
      </c>
      <c r="C26" s="382">
        <v>103.4</v>
      </c>
      <c r="D26" s="382">
        <v>103.6</v>
      </c>
      <c r="E26" s="382">
        <v>101.7</v>
      </c>
      <c r="F26" s="382">
        <v>99.7</v>
      </c>
      <c r="G26" s="382">
        <v>159.5</v>
      </c>
      <c r="H26" s="382">
        <v>113.3</v>
      </c>
      <c r="I26" s="382">
        <v>110.2</v>
      </c>
      <c r="J26" s="382">
        <v>100.4</v>
      </c>
      <c r="K26" s="382">
        <v>102.1</v>
      </c>
      <c r="L26" s="382">
        <v>136.5</v>
      </c>
      <c r="M26" s="382">
        <v>133.4</v>
      </c>
      <c r="N26" s="382">
        <v>136</v>
      </c>
      <c r="O26" s="382">
        <v>136.4</v>
      </c>
      <c r="P26" s="382">
        <v>136.30000000000001</v>
      </c>
      <c r="Q26" s="382">
        <v>135.30000000000001</v>
      </c>
      <c r="R26" s="382">
        <v>138.4</v>
      </c>
      <c r="S26" s="382">
        <v>134.19999999999999</v>
      </c>
      <c r="T26" s="382">
        <v>157.9</v>
      </c>
      <c r="U26" s="382">
        <v>135.9</v>
      </c>
      <c r="V26" s="382">
        <v>136.9</v>
      </c>
      <c r="W26" s="382">
        <v>143.80000000000001</v>
      </c>
      <c r="X26" s="382">
        <v>118.7</v>
      </c>
      <c r="Y26" s="382">
        <v>121.3</v>
      </c>
      <c r="Z26" s="382">
        <v>116.7</v>
      </c>
      <c r="AA26" s="382">
        <v>133.80000000000001</v>
      </c>
      <c r="AB26" s="382">
        <v>133.6</v>
      </c>
      <c r="AC26" s="382">
        <v>133.1</v>
      </c>
      <c r="AD26" s="382">
        <v>133.30000000000001</v>
      </c>
      <c r="AE26" s="382">
        <v>134.80000000000001</v>
      </c>
      <c r="AF26" s="382">
        <v>133.5</v>
      </c>
      <c r="AG26" s="382">
        <v>136.19999999999999</v>
      </c>
      <c r="AH26" s="382">
        <v>133.9</v>
      </c>
      <c r="AI26" s="382">
        <v>129.4</v>
      </c>
      <c r="AJ26" s="382">
        <v>120.3</v>
      </c>
      <c r="AK26" s="382">
        <v>107.1</v>
      </c>
      <c r="AL26" s="382">
        <v>104.6</v>
      </c>
      <c r="AM26" s="382">
        <v>107.4</v>
      </c>
      <c r="AN26" s="382">
        <v>106.7</v>
      </c>
      <c r="AO26" s="382">
        <v>97.3</v>
      </c>
      <c r="AP26" s="382">
        <v>102.8</v>
      </c>
      <c r="AQ26" s="382">
        <v>99.7</v>
      </c>
      <c r="AR26" s="382">
        <v>113</v>
      </c>
      <c r="AS26" s="382">
        <v>98.3</v>
      </c>
      <c r="AT26" s="382">
        <v>101.9</v>
      </c>
      <c r="AU26" s="382">
        <v>102</v>
      </c>
      <c r="AV26" s="382">
        <v>157.19999999999999</v>
      </c>
      <c r="AW26" s="382">
        <v>118.3</v>
      </c>
      <c r="AX26" s="382">
        <v>117.1</v>
      </c>
      <c r="AY26" s="382">
        <v>141.19999999999999</v>
      </c>
      <c r="AZ26" s="382">
        <v>123.8</v>
      </c>
      <c r="BA26" s="382">
        <v>138.5</v>
      </c>
      <c r="BB26" s="382">
        <v>129.6</v>
      </c>
      <c r="BC26" s="382">
        <v>132.9</v>
      </c>
      <c r="BD26" s="382">
        <v>125.3</v>
      </c>
      <c r="BE26" s="382">
        <v>117.5</v>
      </c>
      <c r="BF26" s="382">
        <v>119</v>
      </c>
      <c r="BG26" s="382">
        <v>116.4</v>
      </c>
      <c r="BH26" s="382">
        <v>129.1</v>
      </c>
      <c r="BI26" s="382">
        <v>120.5</v>
      </c>
      <c r="BJ26" s="382">
        <v>116.7</v>
      </c>
      <c r="BK26" s="382">
        <v>117.1</v>
      </c>
      <c r="BL26" s="382">
        <v>119.9</v>
      </c>
      <c r="BM26" s="382">
        <v>116</v>
      </c>
      <c r="BN26" s="382">
        <v>122.1</v>
      </c>
      <c r="BO26" s="382">
        <v>116.7</v>
      </c>
      <c r="BP26" s="382">
        <v>111.4</v>
      </c>
      <c r="BQ26" s="382">
        <v>103.7</v>
      </c>
      <c r="BR26" s="382">
        <v>107.8</v>
      </c>
      <c r="BS26" s="382">
        <v>109.6</v>
      </c>
      <c r="BT26" s="382">
        <v>106.2</v>
      </c>
      <c r="BU26" s="382">
        <v>116.4</v>
      </c>
      <c r="BV26" s="382">
        <v>102.5</v>
      </c>
      <c r="BW26" s="382">
        <v>105</v>
      </c>
      <c r="BX26" s="382">
        <v>110.6</v>
      </c>
      <c r="BY26" s="382">
        <v>102.1</v>
      </c>
      <c r="BZ26" s="382">
        <v>117.5</v>
      </c>
      <c r="CA26" s="382">
        <v>117.1</v>
      </c>
      <c r="CB26" s="382">
        <v>115.6</v>
      </c>
      <c r="CC26" s="382">
        <v>145.6</v>
      </c>
      <c r="CD26" s="382">
        <v>136</v>
      </c>
      <c r="CE26" s="382">
        <v>135</v>
      </c>
      <c r="CF26" s="382">
        <v>136.9</v>
      </c>
      <c r="CG26" s="382">
        <v>137.30000000000001</v>
      </c>
      <c r="CH26" s="382">
        <v>134.9</v>
      </c>
      <c r="CI26" s="382">
        <v>124.7</v>
      </c>
      <c r="CJ26" s="382">
        <v>128.30000000000001</v>
      </c>
      <c r="CK26" s="382">
        <v>134.9</v>
      </c>
      <c r="CL26" s="382">
        <v>131.4</v>
      </c>
      <c r="CM26" s="382">
        <v>134.30000000000001</v>
      </c>
      <c r="CN26" s="382">
        <v>134.19999999999999</v>
      </c>
      <c r="CO26" s="382">
        <v>126.9</v>
      </c>
      <c r="CP26" s="382">
        <v>107.4</v>
      </c>
      <c r="CQ26" s="382">
        <v>119.9</v>
      </c>
      <c r="CR26" s="382">
        <v>125.3</v>
      </c>
      <c r="CS26" s="382">
        <v>124.4</v>
      </c>
      <c r="CT26" s="382">
        <v>131.9</v>
      </c>
      <c r="CU26" s="382">
        <v>139.5</v>
      </c>
      <c r="CV26" s="382">
        <v>130</v>
      </c>
      <c r="CW26" s="382">
        <v>101</v>
      </c>
      <c r="CX26" s="382">
        <v>96.3</v>
      </c>
      <c r="CY26" s="382">
        <v>128.4</v>
      </c>
      <c r="CZ26" s="382">
        <v>122.7</v>
      </c>
      <c r="DA26" s="382">
        <v>129.6</v>
      </c>
      <c r="DB26" s="382">
        <v>112.5</v>
      </c>
      <c r="DC26" s="382">
        <v>114.6</v>
      </c>
      <c r="DD26" s="382">
        <v>114.5</v>
      </c>
      <c r="DE26" s="382">
        <v>108.2</v>
      </c>
      <c r="DF26" s="382">
        <v>115</v>
      </c>
      <c r="DG26" s="382">
        <v>131.9</v>
      </c>
      <c r="DH26" s="382">
        <v>126.4</v>
      </c>
      <c r="DI26" s="382">
        <v>119.9</v>
      </c>
      <c r="DJ26" s="382">
        <v>119.6</v>
      </c>
      <c r="DK26" s="382">
        <v>135.9</v>
      </c>
      <c r="DL26" s="382">
        <v>138.5</v>
      </c>
      <c r="DM26" s="382">
        <v>140.19999999999999</v>
      </c>
      <c r="DN26" s="382">
        <v>140.1</v>
      </c>
      <c r="DO26" s="382">
        <v>137.6</v>
      </c>
      <c r="DP26" s="382">
        <v>114.6</v>
      </c>
      <c r="DQ26" s="382">
        <v>122.6</v>
      </c>
      <c r="DR26" s="382">
        <v>119</v>
      </c>
      <c r="DS26" s="382">
        <v>128.5</v>
      </c>
      <c r="DT26" s="382">
        <v>170.1</v>
      </c>
      <c r="DU26" s="382">
        <v>127.1</v>
      </c>
      <c r="DV26" s="382">
        <v>123</v>
      </c>
      <c r="DW26" s="382">
        <v>121.8</v>
      </c>
      <c r="DX26" s="382">
        <v>118.4</v>
      </c>
      <c r="DY26" s="382">
        <v>154.80000000000001</v>
      </c>
      <c r="DZ26" s="382">
        <v>94.8</v>
      </c>
      <c r="EA26" s="382">
        <v>96.1</v>
      </c>
      <c r="EB26" s="382">
        <v>96.1</v>
      </c>
      <c r="EC26" s="382">
        <v>96.3</v>
      </c>
      <c r="ED26" s="382">
        <v>95.5</v>
      </c>
      <c r="EE26" s="382">
        <v>106.3</v>
      </c>
      <c r="EF26" s="382">
        <v>127.2</v>
      </c>
      <c r="EG26" s="382">
        <v>120.9</v>
      </c>
      <c r="EH26" s="382">
        <v>119.2</v>
      </c>
      <c r="EI26" s="382">
        <v>130</v>
      </c>
      <c r="EJ26" s="382">
        <v>120.9</v>
      </c>
      <c r="EK26" s="382">
        <v>117.5</v>
      </c>
      <c r="EL26" s="382">
        <v>124.3</v>
      </c>
      <c r="EM26" s="382">
        <v>118</v>
      </c>
      <c r="EN26" s="382">
        <v>128.4</v>
      </c>
      <c r="EO26" s="382">
        <v>123.6</v>
      </c>
      <c r="EP26" s="382">
        <v>106.3</v>
      </c>
      <c r="EQ26" s="382">
        <v>106</v>
      </c>
      <c r="ER26" s="382">
        <v>104.1</v>
      </c>
      <c r="ES26" s="382">
        <v>132.19999999999999</v>
      </c>
      <c r="ET26" s="382">
        <v>133.9</v>
      </c>
      <c r="EU26" s="382">
        <v>128.1</v>
      </c>
      <c r="EV26" s="382">
        <v>122.1</v>
      </c>
      <c r="EW26" s="382">
        <v>121.1</v>
      </c>
      <c r="EX26" s="382">
        <v>142</v>
      </c>
      <c r="EY26" s="382">
        <v>127.8</v>
      </c>
      <c r="EZ26" s="382">
        <v>123.4</v>
      </c>
      <c r="FA26" s="382">
        <v>124.2</v>
      </c>
      <c r="FB26" s="382">
        <v>131.1</v>
      </c>
      <c r="FC26" s="382">
        <v>94.8</v>
      </c>
      <c r="FD26" s="382">
        <v>93.9</v>
      </c>
      <c r="FE26" s="382">
        <v>100.2</v>
      </c>
      <c r="FF26" s="382">
        <v>103.2</v>
      </c>
      <c r="FG26" s="382">
        <v>102.2</v>
      </c>
      <c r="FH26" s="382">
        <v>101.2</v>
      </c>
      <c r="FI26" s="382">
        <v>107.6</v>
      </c>
      <c r="FJ26" s="382">
        <v>109.2</v>
      </c>
      <c r="FK26" s="382">
        <v>99.9</v>
      </c>
      <c r="FL26" s="382">
        <v>101.9</v>
      </c>
      <c r="FM26" s="382">
        <v>102.4</v>
      </c>
      <c r="FN26" s="382">
        <v>104.5</v>
      </c>
      <c r="FO26" s="382">
        <v>98.9</v>
      </c>
      <c r="FP26" s="382">
        <v>107.9</v>
      </c>
      <c r="FQ26" s="382">
        <v>98.7</v>
      </c>
      <c r="FR26" s="382">
        <v>104.6</v>
      </c>
      <c r="FS26" s="382">
        <v>111.5</v>
      </c>
      <c r="FT26" s="382">
        <v>100.5</v>
      </c>
      <c r="FU26" s="382">
        <v>95.9</v>
      </c>
      <c r="FV26" s="382">
        <v>103.7</v>
      </c>
      <c r="FW26" s="382">
        <v>100.5</v>
      </c>
      <c r="FX26" s="382">
        <v>101.4</v>
      </c>
      <c r="FY26" s="382">
        <v>110.8</v>
      </c>
      <c r="FZ26" s="382">
        <v>113.7</v>
      </c>
      <c r="GA26" s="382">
        <v>109</v>
      </c>
      <c r="GB26" s="382">
        <v>108.4</v>
      </c>
      <c r="GC26" s="382">
        <v>115.1</v>
      </c>
      <c r="GD26" s="382">
        <v>102.9</v>
      </c>
      <c r="GE26" s="382">
        <v>104.1</v>
      </c>
      <c r="GF26" s="373">
        <f t="shared" si="0"/>
        <v>104.75</v>
      </c>
      <c r="GG26" s="373">
        <f t="shared" si="1"/>
        <v>110.85</v>
      </c>
      <c r="GH26" s="382">
        <v>106.6</v>
      </c>
      <c r="GI26" s="382">
        <v>95.2</v>
      </c>
      <c r="GJ26" s="382">
        <v>132.69999999999999</v>
      </c>
      <c r="GK26" s="382">
        <v>123.9</v>
      </c>
      <c r="GL26" s="382">
        <v>131.4</v>
      </c>
      <c r="GM26" s="382">
        <v>121.2</v>
      </c>
      <c r="GN26" s="382">
        <v>120.9</v>
      </c>
      <c r="GO26" s="382">
        <v>123</v>
      </c>
      <c r="GP26" s="382">
        <v>127.3</v>
      </c>
      <c r="GQ26" s="382">
        <v>124.5</v>
      </c>
      <c r="GR26" s="382">
        <v>128.19999999999999</v>
      </c>
      <c r="GS26" s="382">
        <v>126.5</v>
      </c>
      <c r="GT26" s="382">
        <v>101.7</v>
      </c>
      <c r="GU26" s="382">
        <v>122.5</v>
      </c>
      <c r="GV26" s="382">
        <v>122.2</v>
      </c>
      <c r="GW26" s="382">
        <v>136.30000000000001</v>
      </c>
      <c r="GX26" s="382">
        <v>134.1</v>
      </c>
      <c r="GY26" s="382">
        <v>127.2</v>
      </c>
      <c r="GZ26" s="382">
        <v>134.9</v>
      </c>
      <c r="HA26" s="382">
        <v>128.4</v>
      </c>
      <c r="HB26" s="382">
        <v>139.80000000000001</v>
      </c>
      <c r="HC26" s="382">
        <v>134.6</v>
      </c>
      <c r="HD26" s="382">
        <v>121.4</v>
      </c>
    </row>
    <row r="27" spans="1:212" s="234" customFormat="1" ht="22.05" customHeight="1" x14ac:dyDescent="0.25">
      <c r="A27" s="381">
        <v>2001</v>
      </c>
      <c r="B27" s="382">
        <v>106</v>
      </c>
      <c r="C27" s="382">
        <v>100.5</v>
      </c>
      <c r="D27" s="382">
        <v>100.6</v>
      </c>
      <c r="E27" s="382">
        <v>98.3</v>
      </c>
      <c r="F27" s="382">
        <v>95.9</v>
      </c>
      <c r="G27" s="382">
        <v>152.6</v>
      </c>
      <c r="H27" s="382">
        <v>109</v>
      </c>
      <c r="I27" s="382">
        <v>106.4</v>
      </c>
      <c r="J27" s="382">
        <v>97.3</v>
      </c>
      <c r="K27" s="382">
        <v>98.7</v>
      </c>
      <c r="L27" s="382">
        <v>132.5</v>
      </c>
      <c r="M27" s="382">
        <v>129.30000000000001</v>
      </c>
      <c r="N27" s="382">
        <v>132.80000000000001</v>
      </c>
      <c r="O27" s="382">
        <v>132.4</v>
      </c>
      <c r="P27" s="382">
        <v>132.4</v>
      </c>
      <c r="Q27" s="382">
        <v>131.4</v>
      </c>
      <c r="R27" s="382">
        <v>135.5</v>
      </c>
      <c r="S27" s="382">
        <v>129.69999999999999</v>
      </c>
      <c r="T27" s="382">
        <v>151.80000000000001</v>
      </c>
      <c r="U27" s="382">
        <v>131.5</v>
      </c>
      <c r="V27" s="382">
        <v>134.1</v>
      </c>
      <c r="W27" s="382">
        <v>140.19999999999999</v>
      </c>
      <c r="X27" s="382">
        <v>113.3</v>
      </c>
      <c r="Y27" s="382">
        <v>117.2</v>
      </c>
      <c r="Z27" s="382">
        <v>113.1</v>
      </c>
      <c r="AA27" s="382">
        <v>128.6</v>
      </c>
      <c r="AB27" s="382">
        <v>128.5</v>
      </c>
      <c r="AC27" s="382">
        <v>128.5</v>
      </c>
      <c r="AD27" s="382">
        <v>128.30000000000001</v>
      </c>
      <c r="AE27" s="382">
        <v>128.6</v>
      </c>
      <c r="AF27" s="382">
        <v>128.19999999999999</v>
      </c>
      <c r="AG27" s="382">
        <v>131.5</v>
      </c>
      <c r="AH27" s="382">
        <v>128.80000000000001</v>
      </c>
      <c r="AI27" s="382">
        <v>124.8</v>
      </c>
      <c r="AJ27" s="382">
        <v>115.9</v>
      </c>
      <c r="AK27" s="382">
        <v>104.3</v>
      </c>
      <c r="AL27" s="382">
        <v>100.8</v>
      </c>
      <c r="AM27" s="382">
        <v>104.6</v>
      </c>
      <c r="AN27" s="382">
        <v>103.8</v>
      </c>
      <c r="AO27" s="382">
        <v>94.8</v>
      </c>
      <c r="AP27" s="382">
        <v>100.3</v>
      </c>
      <c r="AQ27" s="382">
        <v>96.4</v>
      </c>
      <c r="AR27" s="382">
        <v>109.1</v>
      </c>
      <c r="AS27" s="382">
        <v>95.5</v>
      </c>
      <c r="AT27" s="382">
        <v>99</v>
      </c>
      <c r="AU27" s="382">
        <v>99</v>
      </c>
      <c r="AV27" s="382">
        <v>150</v>
      </c>
      <c r="AW27" s="382">
        <v>114.3</v>
      </c>
      <c r="AX27" s="382">
        <v>113.4</v>
      </c>
      <c r="AY27" s="382">
        <v>135.80000000000001</v>
      </c>
      <c r="AZ27" s="382">
        <v>120.1</v>
      </c>
      <c r="BA27" s="382">
        <v>133.69999999999999</v>
      </c>
      <c r="BB27" s="382">
        <v>124.3</v>
      </c>
      <c r="BC27" s="382">
        <v>127.8</v>
      </c>
      <c r="BD27" s="382">
        <v>119.8</v>
      </c>
      <c r="BE27" s="382">
        <v>113.4</v>
      </c>
      <c r="BF27" s="382">
        <v>115.6</v>
      </c>
      <c r="BG27" s="382">
        <v>112.1</v>
      </c>
      <c r="BH27" s="382">
        <v>123.4</v>
      </c>
      <c r="BI27" s="382">
        <v>116.4</v>
      </c>
      <c r="BJ27" s="382">
        <v>112.8</v>
      </c>
      <c r="BK27" s="382">
        <v>111.6</v>
      </c>
      <c r="BL27" s="382">
        <v>115.5</v>
      </c>
      <c r="BM27" s="382">
        <v>112.5</v>
      </c>
      <c r="BN27" s="382">
        <v>117.5</v>
      </c>
      <c r="BO27" s="382">
        <v>113.2</v>
      </c>
      <c r="BP27" s="382">
        <v>107.7</v>
      </c>
      <c r="BQ27" s="382">
        <v>100.6</v>
      </c>
      <c r="BR27" s="382">
        <v>104.3</v>
      </c>
      <c r="BS27" s="382">
        <v>105.2</v>
      </c>
      <c r="BT27" s="382">
        <v>103.3</v>
      </c>
      <c r="BU27" s="382">
        <v>112.7</v>
      </c>
      <c r="BV27" s="382">
        <v>99.4</v>
      </c>
      <c r="BW27" s="382">
        <v>101.3</v>
      </c>
      <c r="BX27" s="382">
        <v>104.6</v>
      </c>
      <c r="BY27" s="382">
        <v>98.3</v>
      </c>
      <c r="BZ27" s="382">
        <v>114.6</v>
      </c>
      <c r="CA27" s="382">
        <v>114.3</v>
      </c>
      <c r="CB27" s="382">
        <v>111.7</v>
      </c>
      <c r="CC27" s="382">
        <v>140.9</v>
      </c>
      <c r="CD27" s="382">
        <v>132.1</v>
      </c>
      <c r="CE27" s="382">
        <v>131.4</v>
      </c>
      <c r="CF27" s="382">
        <v>133.1</v>
      </c>
      <c r="CG27" s="382">
        <v>132.9</v>
      </c>
      <c r="CH27" s="382">
        <v>131.30000000000001</v>
      </c>
      <c r="CI27" s="382">
        <v>120.3</v>
      </c>
      <c r="CJ27" s="382">
        <v>124.5</v>
      </c>
      <c r="CK27" s="382">
        <v>130.1</v>
      </c>
      <c r="CL27" s="382">
        <v>126.8</v>
      </c>
      <c r="CM27" s="382">
        <v>129.80000000000001</v>
      </c>
      <c r="CN27" s="382">
        <v>129.4</v>
      </c>
      <c r="CO27" s="382">
        <v>122.4</v>
      </c>
      <c r="CP27" s="382">
        <v>104.3</v>
      </c>
      <c r="CQ27" s="382">
        <v>115.2</v>
      </c>
      <c r="CR27" s="382">
        <v>120.1</v>
      </c>
      <c r="CS27" s="382">
        <v>119.7</v>
      </c>
      <c r="CT27" s="382">
        <v>131.4</v>
      </c>
      <c r="CU27" s="382">
        <v>136.1</v>
      </c>
      <c r="CV27" s="382">
        <v>124.9</v>
      </c>
      <c r="CW27" s="382">
        <v>98.7</v>
      </c>
      <c r="CX27" s="382">
        <v>93.9</v>
      </c>
      <c r="CY27" s="382">
        <v>121.8</v>
      </c>
      <c r="CZ27" s="382">
        <v>114.7</v>
      </c>
      <c r="DA27" s="382">
        <v>125.5</v>
      </c>
      <c r="DB27" s="382">
        <v>106.7</v>
      </c>
      <c r="DC27" s="382">
        <v>117.5</v>
      </c>
      <c r="DD27" s="382">
        <v>117.7</v>
      </c>
      <c r="DE27" s="382">
        <v>101.3</v>
      </c>
      <c r="DF27" s="382">
        <v>111.6</v>
      </c>
      <c r="DG27" s="382">
        <v>127.8</v>
      </c>
      <c r="DH27" s="382">
        <v>122.5</v>
      </c>
      <c r="DI27" s="382">
        <v>116.2</v>
      </c>
      <c r="DJ27" s="382">
        <v>116.2</v>
      </c>
      <c r="DK27" s="382">
        <v>133.4</v>
      </c>
      <c r="DL27" s="382">
        <v>136.69999999999999</v>
      </c>
      <c r="DM27" s="382">
        <v>136.9</v>
      </c>
      <c r="DN27" s="382">
        <v>136.80000000000001</v>
      </c>
      <c r="DO27" s="382">
        <v>136</v>
      </c>
      <c r="DP27" s="382">
        <v>111.4</v>
      </c>
      <c r="DQ27" s="382">
        <v>119.2</v>
      </c>
      <c r="DR27" s="382">
        <v>116</v>
      </c>
      <c r="DS27" s="382">
        <v>125.2</v>
      </c>
      <c r="DT27" s="382">
        <v>164.4</v>
      </c>
      <c r="DU27" s="382">
        <v>123.1</v>
      </c>
      <c r="DV27" s="382">
        <v>120.1</v>
      </c>
      <c r="DW27" s="382">
        <v>118.6</v>
      </c>
      <c r="DX27" s="382">
        <v>115.3</v>
      </c>
      <c r="DY27" s="382">
        <v>151.4</v>
      </c>
      <c r="DZ27" s="382">
        <v>91.5</v>
      </c>
      <c r="EA27" s="382">
        <v>92.9</v>
      </c>
      <c r="EB27" s="382">
        <v>92.9</v>
      </c>
      <c r="EC27" s="382">
        <v>93.3</v>
      </c>
      <c r="ED27" s="382">
        <v>92.3</v>
      </c>
      <c r="EE27" s="382">
        <v>103.1</v>
      </c>
      <c r="EF27" s="382">
        <v>123.5</v>
      </c>
      <c r="EG27" s="382">
        <v>117.7</v>
      </c>
      <c r="EH27" s="382">
        <v>115.9</v>
      </c>
      <c r="EI27" s="382">
        <v>125.9</v>
      </c>
      <c r="EJ27" s="382">
        <v>117.1</v>
      </c>
      <c r="EK27" s="382">
        <v>114</v>
      </c>
      <c r="EL27" s="382">
        <v>120.4</v>
      </c>
      <c r="EM27" s="382">
        <v>114.7</v>
      </c>
      <c r="EN27" s="382">
        <v>123.8</v>
      </c>
      <c r="EO27" s="382">
        <v>119.9</v>
      </c>
      <c r="EP27" s="382">
        <v>102</v>
      </c>
      <c r="EQ27" s="382">
        <v>102.1</v>
      </c>
      <c r="ER27" s="382">
        <v>99.7</v>
      </c>
      <c r="ES27" s="382">
        <v>129.80000000000001</v>
      </c>
      <c r="ET27" s="382">
        <v>131.19999999999999</v>
      </c>
      <c r="EU27" s="382">
        <v>123.5</v>
      </c>
      <c r="EV27" s="382">
        <v>118.9</v>
      </c>
      <c r="EW27" s="382">
        <v>118.4</v>
      </c>
      <c r="EX27" s="382">
        <v>136.9</v>
      </c>
      <c r="EY27" s="382">
        <v>124.1</v>
      </c>
      <c r="EZ27" s="382">
        <v>120.4</v>
      </c>
      <c r="FA27" s="382">
        <v>121.1</v>
      </c>
      <c r="FB27" s="382">
        <v>127.8</v>
      </c>
      <c r="FC27" s="382">
        <v>92.1</v>
      </c>
      <c r="FD27" s="382">
        <v>91.3</v>
      </c>
      <c r="FE27" s="382">
        <v>96.8</v>
      </c>
      <c r="FF27" s="382">
        <v>99.7</v>
      </c>
      <c r="FG27" s="382">
        <v>98.2</v>
      </c>
      <c r="FH27" s="382">
        <v>96.5</v>
      </c>
      <c r="FI27" s="382">
        <v>102.6</v>
      </c>
      <c r="FJ27" s="382">
        <v>104.3</v>
      </c>
      <c r="FK27" s="382">
        <v>93.4</v>
      </c>
      <c r="FL27" s="382">
        <v>98.4</v>
      </c>
      <c r="FM27" s="382">
        <v>99.8</v>
      </c>
      <c r="FN27" s="382">
        <v>102.3</v>
      </c>
      <c r="FO27" s="382">
        <v>96.6</v>
      </c>
      <c r="FP27" s="382">
        <v>103.8</v>
      </c>
      <c r="FQ27" s="382">
        <v>95.5</v>
      </c>
      <c r="FR27" s="382">
        <v>100.9</v>
      </c>
      <c r="FS27" s="382">
        <v>107.8</v>
      </c>
      <c r="FT27" s="382">
        <v>97.6</v>
      </c>
      <c r="FU27" s="382">
        <v>93.4</v>
      </c>
      <c r="FV27" s="382">
        <v>100.5</v>
      </c>
      <c r="FW27" s="382">
        <v>97.8</v>
      </c>
      <c r="FX27" s="382">
        <v>97.3</v>
      </c>
      <c r="FY27" s="382">
        <v>107.7</v>
      </c>
      <c r="FZ27" s="382">
        <v>109.1</v>
      </c>
      <c r="GA27" s="382">
        <v>105.7</v>
      </c>
      <c r="GB27" s="382">
        <v>105.2</v>
      </c>
      <c r="GC27" s="382">
        <v>110.8</v>
      </c>
      <c r="GD27" s="382">
        <v>99.8</v>
      </c>
      <c r="GE27" s="382">
        <v>100.3</v>
      </c>
      <c r="GF27" s="373">
        <f t="shared" si="0"/>
        <v>101.35</v>
      </c>
      <c r="GG27" s="373">
        <f t="shared" si="1"/>
        <v>106.85</v>
      </c>
      <c r="GH27" s="382">
        <v>102.9</v>
      </c>
      <c r="GI27" s="382">
        <v>92.1</v>
      </c>
      <c r="GJ27" s="382">
        <v>127.9</v>
      </c>
      <c r="GK27" s="382">
        <v>120.3</v>
      </c>
      <c r="GL27" s="382">
        <v>125.7</v>
      </c>
      <c r="GM27" s="382">
        <v>114.6</v>
      </c>
      <c r="GN27" s="382">
        <v>117.5</v>
      </c>
      <c r="GO27" s="382">
        <v>119.1</v>
      </c>
      <c r="GP27" s="382">
        <v>123.6</v>
      </c>
      <c r="GQ27" s="382">
        <v>120.6</v>
      </c>
      <c r="GR27" s="382">
        <v>123.9</v>
      </c>
      <c r="GS27" s="382">
        <v>123.3</v>
      </c>
      <c r="GT27" s="382">
        <v>99</v>
      </c>
      <c r="GU27" s="382">
        <v>117.5</v>
      </c>
      <c r="GV27" s="382">
        <v>117.4</v>
      </c>
      <c r="GW27" s="382">
        <v>131.5</v>
      </c>
      <c r="GX27" s="382">
        <v>129.1</v>
      </c>
      <c r="GY27" s="382">
        <v>124.4</v>
      </c>
      <c r="GZ27" s="382">
        <v>130.19999999999999</v>
      </c>
      <c r="HA27" s="382">
        <v>125.5</v>
      </c>
      <c r="HB27" s="382">
        <v>134.69999999999999</v>
      </c>
      <c r="HC27" s="382">
        <v>130.19999999999999</v>
      </c>
      <c r="HD27" s="382">
        <v>117.2</v>
      </c>
    </row>
    <row r="28" spans="1:212" s="234" customFormat="1" ht="22.05" customHeight="1" x14ac:dyDescent="0.25">
      <c r="A28" s="381">
        <v>2000</v>
      </c>
      <c r="B28" s="382">
        <v>104.1</v>
      </c>
      <c r="C28" s="382">
        <v>98.9</v>
      </c>
      <c r="D28" s="382">
        <v>99.1</v>
      </c>
      <c r="E28" s="382">
        <v>94.2</v>
      </c>
      <c r="F28" s="382">
        <v>94.6</v>
      </c>
      <c r="G28" s="382">
        <v>148.30000000000001</v>
      </c>
      <c r="H28" s="382">
        <v>106.9</v>
      </c>
      <c r="I28" s="382">
        <v>104.9</v>
      </c>
      <c r="J28" s="382">
        <v>94.4</v>
      </c>
      <c r="K28" s="382">
        <v>95.7</v>
      </c>
      <c r="L28" s="382">
        <v>129.4</v>
      </c>
      <c r="M28" s="382">
        <v>125.2</v>
      </c>
      <c r="N28" s="382">
        <v>129.4</v>
      </c>
      <c r="O28" s="382">
        <v>129.9</v>
      </c>
      <c r="P28" s="382">
        <v>129.69999999999999</v>
      </c>
      <c r="Q28" s="382">
        <v>128</v>
      </c>
      <c r="R28" s="382">
        <v>131.5</v>
      </c>
      <c r="S28" s="382">
        <v>127.1</v>
      </c>
      <c r="T28" s="382">
        <v>146.9</v>
      </c>
      <c r="U28" s="382">
        <v>128.69999999999999</v>
      </c>
      <c r="V28" s="382">
        <v>130.69999999999999</v>
      </c>
      <c r="W28" s="382">
        <v>137.1</v>
      </c>
      <c r="X28" s="382">
        <v>109.8</v>
      </c>
      <c r="Y28" s="382">
        <v>111.8</v>
      </c>
      <c r="Z28" s="382">
        <v>108.8</v>
      </c>
      <c r="AA28" s="382">
        <v>122.7</v>
      </c>
      <c r="AB28" s="382">
        <v>122.6</v>
      </c>
      <c r="AC28" s="382">
        <v>122.9</v>
      </c>
      <c r="AD28" s="382">
        <v>122.4</v>
      </c>
      <c r="AE28" s="382">
        <v>122.7</v>
      </c>
      <c r="AF28" s="382">
        <v>121.5</v>
      </c>
      <c r="AG28" s="382">
        <v>126.4</v>
      </c>
      <c r="AH28" s="382">
        <v>123.2</v>
      </c>
      <c r="AI28" s="382">
        <v>117.7</v>
      </c>
      <c r="AJ28" s="382">
        <v>113.8</v>
      </c>
      <c r="AK28" s="382">
        <v>102.4</v>
      </c>
      <c r="AL28" s="382">
        <v>99</v>
      </c>
      <c r="AM28" s="382">
        <v>101.8</v>
      </c>
      <c r="AN28" s="382">
        <v>101.2</v>
      </c>
      <c r="AO28" s="382">
        <v>93.6</v>
      </c>
      <c r="AP28" s="382">
        <v>98.9</v>
      </c>
      <c r="AQ28" s="382">
        <v>94.9</v>
      </c>
      <c r="AR28" s="382">
        <v>106.1</v>
      </c>
      <c r="AS28" s="382">
        <v>94.1</v>
      </c>
      <c r="AT28" s="382">
        <v>97</v>
      </c>
      <c r="AU28" s="382">
        <v>97.5</v>
      </c>
      <c r="AV28" s="382">
        <v>144.80000000000001</v>
      </c>
      <c r="AW28" s="382">
        <v>112.9</v>
      </c>
      <c r="AX28" s="382">
        <v>112.1</v>
      </c>
      <c r="AY28" s="382">
        <v>131.19999999999999</v>
      </c>
      <c r="AZ28" s="382">
        <v>115.1</v>
      </c>
      <c r="BA28" s="382">
        <v>124.6</v>
      </c>
      <c r="BB28" s="382">
        <v>119</v>
      </c>
      <c r="BC28" s="382">
        <v>122.2</v>
      </c>
      <c r="BD28" s="382">
        <v>116.2</v>
      </c>
      <c r="BE28" s="382">
        <v>109.8</v>
      </c>
      <c r="BF28" s="382">
        <v>111.5</v>
      </c>
      <c r="BG28" s="382">
        <v>108.4</v>
      </c>
      <c r="BH28" s="382">
        <v>117.8</v>
      </c>
      <c r="BI28" s="382">
        <v>113.2</v>
      </c>
      <c r="BJ28" s="382">
        <v>109.1</v>
      </c>
      <c r="BK28" s="382">
        <v>106.9</v>
      </c>
      <c r="BL28" s="382">
        <v>110.8</v>
      </c>
      <c r="BM28" s="382">
        <v>108.8</v>
      </c>
      <c r="BN28" s="382">
        <v>112.6</v>
      </c>
      <c r="BO28" s="382">
        <v>108.9</v>
      </c>
      <c r="BP28" s="382">
        <v>99</v>
      </c>
      <c r="BQ28" s="382">
        <v>98.1</v>
      </c>
      <c r="BR28" s="382">
        <v>101</v>
      </c>
      <c r="BS28" s="382">
        <v>101.1</v>
      </c>
      <c r="BT28" s="382">
        <v>101.4</v>
      </c>
      <c r="BU28" s="382">
        <v>109.3</v>
      </c>
      <c r="BV28" s="382">
        <v>97.8</v>
      </c>
      <c r="BW28" s="382">
        <v>99.7</v>
      </c>
      <c r="BX28" s="382">
        <v>102.1</v>
      </c>
      <c r="BY28" s="382">
        <v>96.2</v>
      </c>
      <c r="BZ28" s="382">
        <v>105.7</v>
      </c>
      <c r="CA28" s="382">
        <v>105.4</v>
      </c>
      <c r="CB28" s="382">
        <v>107.7</v>
      </c>
      <c r="CC28" s="382">
        <v>138.9</v>
      </c>
      <c r="CD28" s="382">
        <v>129.4</v>
      </c>
      <c r="CE28" s="382">
        <v>128.4</v>
      </c>
      <c r="CF28" s="382">
        <v>129.69999999999999</v>
      </c>
      <c r="CG28" s="382">
        <v>130.30000000000001</v>
      </c>
      <c r="CH28" s="382">
        <v>128.30000000000001</v>
      </c>
      <c r="CI28" s="382">
        <v>116.7</v>
      </c>
      <c r="CJ28" s="382">
        <v>121</v>
      </c>
      <c r="CK28" s="382">
        <v>127.3</v>
      </c>
      <c r="CL28" s="382">
        <v>124.3</v>
      </c>
      <c r="CM28" s="382">
        <v>125.8</v>
      </c>
      <c r="CN28" s="382">
        <v>125.3</v>
      </c>
      <c r="CO28" s="382">
        <v>119.8</v>
      </c>
      <c r="CP28" s="382">
        <v>102.7</v>
      </c>
      <c r="CQ28" s="382">
        <v>111.6</v>
      </c>
      <c r="CR28" s="382">
        <v>117.6</v>
      </c>
      <c r="CS28" s="382">
        <v>115.9</v>
      </c>
      <c r="CT28" s="382">
        <v>124.1</v>
      </c>
      <c r="CU28" s="382">
        <v>131.1</v>
      </c>
      <c r="CV28" s="382">
        <v>120.1</v>
      </c>
      <c r="CW28" s="382">
        <v>97.2</v>
      </c>
      <c r="CX28" s="382">
        <v>92.9</v>
      </c>
      <c r="CY28" s="382">
        <v>118.2</v>
      </c>
      <c r="CZ28" s="382">
        <v>111.9</v>
      </c>
      <c r="DA28" s="382">
        <v>122.4</v>
      </c>
      <c r="DB28" s="382">
        <v>104.3</v>
      </c>
      <c r="DC28" s="382">
        <v>113.7</v>
      </c>
      <c r="DD28" s="382">
        <v>113.9</v>
      </c>
      <c r="DE28" s="382">
        <v>98.8</v>
      </c>
      <c r="DF28" s="382">
        <v>107</v>
      </c>
      <c r="DG28" s="382">
        <v>125.8</v>
      </c>
      <c r="DH28" s="382">
        <v>118.2</v>
      </c>
      <c r="DI28" s="382">
        <v>111.9</v>
      </c>
      <c r="DJ28" s="382">
        <v>111.9</v>
      </c>
      <c r="DK28" s="382">
        <v>128.4</v>
      </c>
      <c r="DL28" s="382">
        <v>130.5</v>
      </c>
      <c r="DM28" s="382">
        <v>132.6</v>
      </c>
      <c r="DN28" s="382">
        <v>132.4</v>
      </c>
      <c r="DO28" s="382">
        <v>130.6</v>
      </c>
      <c r="DP28" s="382">
        <v>109</v>
      </c>
      <c r="DQ28" s="382">
        <v>116.5</v>
      </c>
      <c r="DR28" s="382">
        <v>112.4</v>
      </c>
      <c r="DS28" s="382">
        <v>122.3</v>
      </c>
      <c r="DT28" s="382">
        <v>159.19999999999999</v>
      </c>
      <c r="DU28" s="382">
        <v>120</v>
      </c>
      <c r="DV28" s="382">
        <v>117.5</v>
      </c>
      <c r="DW28" s="382">
        <v>115.1</v>
      </c>
      <c r="DX28" s="382">
        <v>112.4</v>
      </c>
      <c r="DY28" s="382">
        <v>144.80000000000001</v>
      </c>
      <c r="DZ28" s="382">
        <v>90.3</v>
      </c>
      <c r="EA28" s="382">
        <v>91.6</v>
      </c>
      <c r="EB28" s="382">
        <v>91.6</v>
      </c>
      <c r="EC28" s="382">
        <v>91.9</v>
      </c>
      <c r="ED28" s="382">
        <v>91</v>
      </c>
      <c r="EE28" s="382">
        <v>97.9</v>
      </c>
      <c r="EF28" s="382">
        <v>117.8</v>
      </c>
      <c r="EG28" s="382">
        <v>112.7</v>
      </c>
      <c r="EH28" s="382">
        <v>110.1</v>
      </c>
      <c r="EI28" s="382">
        <v>121.3</v>
      </c>
      <c r="EJ28" s="382">
        <v>112.5</v>
      </c>
      <c r="EK28" s="382">
        <v>109</v>
      </c>
      <c r="EL28" s="382">
        <v>115</v>
      </c>
      <c r="EM28" s="382">
        <v>109.2</v>
      </c>
      <c r="EN28" s="382">
        <v>115.7</v>
      </c>
      <c r="EO28" s="382">
        <v>114.1</v>
      </c>
      <c r="EP28" s="382">
        <v>98.7</v>
      </c>
      <c r="EQ28" s="382">
        <v>98.9</v>
      </c>
      <c r="ER28" s="382">
        <v>97.5</v>
      </c>
      <c r="ES28" s="382">
        <v>126.3</v>
      </c>
      <c r="ET28" s="382">
        <v>127.4</v>
      </c>
      <c r="EU28" s="382">
        <v>119.9</v>
      </c>
      <c r="EV28" s="382">
        <v>114.6</v>
      </c>
      <c r="EW28" s="382">
        <v>114</v>
      </c>
      <c r="EX28" s="382">
        <v>132.1</v>
      </c>
      <c r="EY28" s="382">
        <v>120.9</v>
      </c>
      <c r="EZ28" s="382">
        <v>115.9</v>
      </c>
      <c r="FA28" s="382">
        <v>117.7</v>
      </c>
      <c r="FB28" s="382">
        <v>122.8</v>
      </c>
      <c r="FC28" s="382">
        <v>89.9</v>
      </c>
      <c r="FD28" s="382">
        <v>89.1</v>
      </c>
      <c r="FE28" s="382">
        <v>94.2</v>
      </c>
      <c r="FF28" s="382">
        <v>98</v>
      </c>
      <c r="FG28" s="382">
        <v>96.9</v>
      </c>
      <c r="FH28" s="382">
        <v>95</v>
      </c>
      <c r="FI28" s="382">
        <v>100.8</v>
      </c>
      <c r="FJ28" s="382">
        <v>100.8</v>
      </c>
      <c r="FK28" s="382">
        <v>93.4</v>
      </c>
      <c r="FL28" s="382">
        <v>98.1</v>
      </c>
      <c r="FM28" s="382">
        <v>99.1</v>
      </c>
      <c r="FN28" s="382">
        <v>101.6</v>
      </c>
      <c r="FO28" s="382">
        <v>96.9</v>
      </c>
      <c r="FP28" s="382">
        <v>102.7</v>
      </c>
      <c r="FQ28" s="382">
        <v>92.4</v>
      </c>
      <c r="FR28" s="382">
        <v>99.9</v>
      </c>
      <c r="FS28" s="382">
        <v>106</v>
      </c>
      <c r="FT28" s="382">
        <v>97.6</v>
      </c>
      <c r="FU28" s="382">
        <v>93.4</v>
      </c>
      <c r="FV28" s="382">
        <v>99.4</v>
      </c>
      <c r="FW28" s="382">
        <v>97.3</v>
      </c>
      <c r="FX28" s="382">
        <v>96.9</v>
      </c>
      <c r="FY28" s="382">
        <v>104.6</v>
      </c>
      <c r="FZ28" s="382">
        <v>106.5</v>
      </c>
      <c r="GA28" s="382">
        <v>98.9</v>
      </c>
      <c r="GB28" s="382">
        <v>98.3</v>
      </c>
      <c r="GC28" s="382">
        <v>108.1</v>
      </c>
      <c r="GD28" s="382">
        <v>96.5</v>
      </c>
      <c r="GE28" s="382">
        <v>97.6</v>
      </c>
      <c r="GF28" s="373">
        <f t="shared" si="0"/>
        <v>98.35</v>
      </c>
      <c r="GG28" s="373">
        <f t="shared" si="1"/>
        <v>104.15</v>
      </c>
      <c r="GH28" s="382">
        <v>100.2</v>
      </c>
      <c r="GI28" s="382">
        <v>90.7</v>
      </c>
      <c r="GJ28" s="382">
        <v>124.6</v>
      </c>
      <c r="GK28" s="382">
        <v>118.3</v>
      </c>
      <c r="GL28" s="382">
        <v>122.9</v>
      </c>
      <c r="GM28" s="382">
        <v>111.5</v>
      </c>
      <c r="GN28" s="382">
        <v>114.4</v>
      </c>
      <c r="GO28" s="382">
        <v>114.6</v>
      </c>
      <c r="GP28" s="382">
        <v>119.1</v>
      </c>
      <c r="GQ28" s="382">
        <v>116.6</v>
      </c>
      <c r="GR28" s="382">
        <v>120.5</v>
      </c>
      <c r="GS28" s="382">
        <v>118.7</v>
      </c>
      <c r="GT28" s="382">
        <v>98.1</v>
      </c>
      <c r="GU28" s="382">
        <v>115.9</v>
      </c>
      <c r="GV28" s="382">
        <v>115.8</v>
      </c>
      <c r="GW28" s="382">
        <v>130</v>
      </c>
      <c r="GX28" s="382">
        <v>127.5</v>
      </c>
      <c r="GY28" s="382">
        <v>122.8</v>
      </c>
      <c r="GZ28" s="382">
        <v>128.80000000000001</v>
      </c>
      <c r="HA28" s="382">
        <v>124.1</v>
      </c>
      <c r="HB28" s="382">
        <v>133.1</v>
      </c>
      <c r="HC28" s="382">
        <v>128.4</v>
      </c>
      <c r="HD28" s="382">
        <v>115.6</v>
      </c>
    </row>
    <row r="29" spans="1:212" s="234" customFormat="1" ht="22.05" customHeight="1" x14ac:dyDescent="0.25">
      <c r="A29" s="381">
        <v>1999</v>
      </c>
      <c r="B29" s="382">
        <v>101.2</v>
      </c>
      <c r="C29" s="382">
        <v>97.4</v>
      </c>
      <c r="D29" s="382">
        <v>97.7</v>
      </c>
      <c r="E29" s="382">
        <v>92.5</v>
      </c>
      <c r="F29" s="382">
        <v>92.8</v>
      </c>
      <c r="G29" s="382">
        <v>145.9</v>
      </c>
      <c r="H29" s="382">
        <v>105.5</v>
      </c>
      <c r="I29" s="382">
        <v>103.3</v>
      </c>
      <c r="J29" s="382">
        <v>93.1</v>
      </c>
      <c r="K29" s="382">
        <v>94.4</v>
      </c>
      <c r="L29" s="382">
        <v>127.9</v>
      </c>
      <c r="M29" s="382">
        <v>123.6</v>
      </c>
      <c r="N29" s="382">
        <v>126.9</v>
      </c>
      <c r="O29" s="382">
        <v>128.69999999999999</v>
      </c>
      <c r="P29" s="382">
        <v>128.19999999999999</v>
      </c>
      <c r="Q29" s="382">
        <v>126.5</v>
      </c>
      <c r="R29" s="382">
        <v>129.4</v>
      </c>
      <c r="S29" s="382">
        <v>124.9</v>
      </c>
      <c r="T29" s="382">
        <v>145.1</v>
      </c>
      <c r="U29" s="382">
        <v>127.2</v>
      </c>
      <c r="V29" s="382">
        <v>127.9</v>
      </c>
      <c r="W29" s="382">
        <v>135.30000000000001</v>
      </c>
      <c r="X29" s="382">
        <v>107</v>
      </c>
      <c r="Y29" s="382">
        <v>109.1</v>
      </c>
      <c r="Z29" s="382">
        <v>107.1</v>
      </c>
      <c r="AA29" s="382">
        <v>121.1</v>
      </c>
      <c r="AB29" s="382">
        <v>121.3</v>
      </c>
      <c r="AC29" s="382">
        <v>121.2</v>
      </c>
      <c r="AD29" s="382">
        <v>121.1</v>
      </c>
      <c r="AE29" s="382">
        <v>121.3</v>
      </c>
      <c r="AF29" s="382">
        <v>120</v>
      </c>
      <c r="AG29" s="382">
        <v>122</v>
      </c>
      <c r="AH29" s="382">
        <v>121.2</v>
      </c>
      <c r="AI29" s="382">
        <v>116.6</v>
      </c>
      <c r="AJ29" s="382">
        <v>111.5</v>
      </c>
      <c r="AK29" s="382">
        <v>101.4</v>
      </c>
      <c r="AL29" s="382">
        <v>98</v>
      </c>
      <c r="AM29" s="382">
        <v>100.8</v>
      </c>
      <c r="AN29" s="382">
        <v>100.1</v>
      </c>
      <c r="AO29" s="382">
        <v>92.5</v>
      </c>
      <c r="AP29" s="382">
        <v>97.9</v>
      </c>
      <c r="AQ29" s="382">
        <v>93.5</v>
      </c>
      <c r="AR29" s="382">
        <v>102.9</v>
      </c>
      <c r="AS29" s="382">
        <v>92.8</v>
      </c>
      <c r="AT29" s="382">
        <v>95.8</v>
      </c>
      <c r="AU29" s="382">
        <v>96</v>
      </c>
      <c r="AV29" s="382">
        <v>143</v>
      </c>
      <c r="AW29" s="382">
        <v>110.2</v>
      </c>
      <c r="AX29" s="382">
        <v>109.6</v>
      </c>
      <c r="AY29" s="382">
        <v>129.6</v>
      </c>
      <c r="AZ29" s="382">
        <v>113</v>
      </c>
      <c r="BA29" s="382">
        <v>122.6</v>
      </c>
      <c r="BB29" s="382">
        <v>116.4</v>
      </c>
      <c r="BC29" s="382">
        <v>120.7</v>
      </c>
      <c r="BD29" s="382">
        <v>113.8</v>
      </c>
      <c r="BE29" s="382">
        <v>107.1</v>
      </c>
      <c r="BF29" s="382">
        <v>109.3</v>
      </c>
      <c r="BG29" s="382">
        <v>106.8</v>
      </c>
      <c r="BH29" s="382">
        <v>112.8</v>
      </c>
      <c r="BI29" s="382">
        <v>110.6</v>
      </c>
      <c r="BJ29" s="382">
        <v>105.7</v>
      </c>
      <c r="BK29" s="382">
        <v>103.7</v>
      </c>
      <c r="BL29" s="382">
        <v>107.9</v>
      </c>
      <c r="BM29" s="382">
        <v>104.1</v>
      </c>
      <c r="BN29" s="382">
        <v>109.2</v>
      </c>
      <c r="BO29" s="382">
        <v>107.6</v>
      </c>
      <c r="BP29" s="382">
        <v>96.7</v>
      </c>
      <c r="BQ29" s="382">
        <v>96.4</v>
      </c>
      <c r="BR29" s="382">
        <v>98.7</v>
      </c>
      <c r="BS29" s="382">
        <v>99.3</v>
      </c>
      <c r="BT29" s="382">
        <v>99.7</v>
      </c>
      <c r="BU29" s="382">
        <v>106.6</v>
      </c>
      <c r="BV29" s="382">
        <v>96.1</v>
      </c>
      <c r="BW29" s="382">
        <v>97.6</v>
      </c>
      <c r="BX29" s="382">
        <v>99.5</v>
      </c>
      <c r="BY29" s="382">
        <v>94.8</v>
      </c>
      <c r="BZ29" s="382">
        <v>105</v>
      </c>
      <c r="CA29" s="382">
        <v>104.7</v>
      </c>
      <c r="CB29" s="382">
        <v>106.4</v>
      </c>
      <c r="CC29" s="382">
        <v>136.19999999999999</v>
      </c>
      <c r="CD29" s="382">
        <v>126.7</v>
      </c>
      <c r="CE29" s="382">
        <v>126.3</v>
      </c>
      <c r="CF29" s="382">
        <v>127.3</v>
      </c>
      <c r="CG29" s="382">
        <v>127.4</v>
      </c>
      <c r="CH29" s="382">
        <v>126.2</v>
      </c>
      <c r="CI29" s="382">
        <v>115</v>
      </c>
      <c r="CJ29" s="382">
        <v>118.8</v>
      </c>
      <c r="CK29" s="382">
        <v>123.8</v>
      </c>
      <c r="CL29" s="382">
        <v>117.5</v>
      </c>
      <c r="CM29" s="382">
        <v>122.7</v>
      </c>
      <c r="CN29" s="382">
        <v>122.6</v>
      </c>
      <c r="CO29" s="382">
        <v>113.7</v>
      </c>
      <c r="CP29" s="382">
        <v>100.9</v>
      </c>
      <c r="CQ29" s="382">
        <v>106.1</v>
      </c>
      <c r="CR29" s="382">
        <v>111.5</v>
      </c>
      <c r="CS29" s="382">
        <v>110.1</v>
      </c>
      <c r="CT29" s="382">
        <v>120.3</v>
      </c>
      <c r="CU29" s="382">
        <v>126.5</v>
      </c>
      <c r="CV29" s="382">
        <v>117.1</v>
      </c>
      <c r="CW29" s="382">
        <v>95.7</v>
      </c>
      <c r="CX29" s="382">
        <v>91.8</v>
      </c>
      <c r="CY29" s="382">
        <v>114.9</v>
      </c>
      <c r="CZ29" s="382">
        <v>106.1</v>
      </c>
      <c r="DA29" s="382">
        <v>119.8</v>
      </c>
      <c r="DB29" s="382">
        <v>101.1</v>
      </c>
      <c r="DC29" s="382">
        <v>112.1</v>
      </c>
      <c r="DD29" s="382">
        <v>112.7</v>
      </c>
      <c r="DE29" s="382">
        <v>96.6</v>
      </c>
      <c r="DF29" s="382">
        <v>104.8</v>
      </c>
      <c r="DG29" s="382">
        <v>121.9</v>
      </c>
      <c r="DH29" s="382">
        <v>114.4</v>
      </c>
      <c r="DI29" s="382">
        <v>109.6</v>
      </c>
      <c r="DJ29" s="382">
        <v>109.6</v>
      </c>
      <c r="DK29" s="382">
        <v>125.3</v>
      </c>
      <c r="DL29" s="382">
        <v>128.80000000000001</v>
      </c>
      <c r="DM29" s="382">
        <v>131.6</v>
      </c>
      <c r="DN29" s="382">
        <v>129.5</v>
      </c>
      <c r="DO29" s="382">
        <v>129.6</v>
      </c>
      <c r="DP29" s="382">
        <v>106.7</v>
      </c>
      <c r="DQ29" s="382">
        <v>114.6</v>
      </c>
      <c r="DR29" s="382">
        <v>108.6</v>
      </c>
      <c r="DS29" s="382">
        <v>120.2</v>
      </c>
      <c r="DT29" s="382">
        <v>155.9</v>
      </c>
      <c r="DU29" s="382">
        <v>116.8</v>
      </c>
      <c r="DV29" s="382">
        <v>114.7</v>
      </c>
      <c r="DW29" s="382">
        <v>113.7</v>
      </c>
      <c r="DX29" s="382">
        <v>108.5</v>
      </c>
      <c r="DY29" s="382">
        <v>140.6</v>
      </c>
      <c r="DZ29" s="382">
        <v>89.3</v>
      </c>
      <c r="EA29" s="382">
        <v>90.2</v>
      </c>
      <c r="EB29" s="382">
        <v>90.3</v>
      </c>
      <c r="EC29" s="382">
        <v>90.5</v>
      </c>
      <c r="ED29" s="382">
        <v>90.1</v>
      </c>
      <c r="EE29" s="382">
        <v>96.8</v>
      </c>
      <c r="EF29" s="382">
        <v>116</v>
      </c>
      <c r="EG29" s="382">
        <v>110.6</v>
      </c>
      <c r="EH29" s="382">
        <v>107.9</v>
      </c>
      <c r="EI29" s="382">
        <v>118.7</v>
      </c>
      <c r="EJ29" s="382">
        <v>109.5</v>
      </c>
      <c r="EK29" s="382">
        <v>107.1</v>
      </c>
      <c r="EL29" s="382">
        <v>112</v>
      </c>
      <c r="EM29" s="382">
        <v>106.4</v>
      </c>
      <c r="EN29" s="382">
        <v>113.6</v>
      </c>
      <c r="EO29" s="382">
        <v>111.9</v>
      </c>
      <c r="EP29" s="382">
        <v>97.5</v>
      </c>
      <c r="EQ29" s="382">
        <v>97.4</v>
      </c>
      <c r="ER29" s="382">
        <v>96.2</v>
      </c>
      <c r="ES29" s="382">
        <v>120.9</v>
      </c>
      <c r="ET29" s="382">
        <v>124.3</v>
      </c>
      <c r="EU29" s="382">
        <v>117.8</v>
      </c>
      <c r="EV29" s="382">
        <v>113.8</v>
      </c>
      <c r="EW29" s="382">
        <v>112.8</v>
      </c>
      <c r="EX29" s="382">
        <v>129.80000000000001</v>
      </c>
      <c r="EY29" s="382">
        <v>119.6</v>
      </c>
      <c r="EZ29" s="382">
        <v>114.8</v>
      </c>
      <c r="FA29" s="382">
        <v>116.3</v>
      </c>
      <c r="FB29" s="382">
        <v>121.6</v>
      </c>
      <c r="FC29" s="382">
        <v>89</v>
      </c>
      <c r="FD29" s="382">
        <v>88.1</v>
      </c>
      <c r="FE29" s="382">
        <v>92.4</v>
      </c>
      <c r="FF29" s="382">
        <v>95.8</v>
      </c>
      <c r="FG29" s="382">
        <v>95.9</v>
      </c>
      <c r="FH29" s="382">
        <v>93.4</v>
      </c>
      <c r="FI29" s="382">
        <v>99.7</v>
      </c>
      <c r="FJ29" s="382">
        <v>98.6</v>
      </c>
      <c r="FK29" s="382">
        <v>91.8</v>
      </c>
      <c r="FL29" s="382">
        <v>94.5</v>
      </c>
      <c r="FM29" s="382">
        <v>96</v>
      </c>
      <c r="FN29" s="382">
        <v>99.7</v>
      </c>
      <c r="FO29" s="382">
        <v>94</v>
      </c>
      <c r="FP29" s="382">
        <v>101</v>
      </c>
      <c r="FQ29" s="382">
        <v>90.7</v>
      </c>
      <c r="FR29" s="382">
        <v>97.6</v>
      </c>
      <c r="FS29" s="382">
        <v>104.6</v>
      </c>
      <c r="FT29" s="382">
        <v>96</v>
      </c>
      <c r="FU29" s="382">
        <v>92.1</v>
      </c>
      <c r="FV29" s="382">
        <v>98</v>
      </c>
      <c r="FW29" s="382">
        <v>94.8</v>
      </c>
      <c r="FX29" s="382">
        <v>95.5</v>
      </c>
      <c r="FY29" s="382">
        <v>103.3</v>
      </c>
      <c r="FZ29" s="382">
        <v>104.5</v>
      </c>
      <c r="GA29" s="382">
        <v>98.2</v>
      </c>
      <c r="GB29" s="382">
        <v>97.7</v>
      </c>
      <c r="GC29" s="382">
        <v>106.1</v>
      </c>
      <c r="GD29" s="382">
        <v>95.6</v>
      </c>
      <c r="GE29" s="382">
        <v>96.5</v>
      </c>
      <c r="GF29" s="373">
        <f t="shared" si="0"/>
        <v>97.199999999999989</v>
      </c>
      <c r="GG29" s="373">
        <f t="shared" si="1"/>
        <v>102.44999999999999</v>
      </c>
      <c r="GH29" s="382">
        <v>98.8</v>
      </c>
      <c r="GI29" s="382">
        <v>89.8</v>
      </c>
      <c r="GJ29" s="382">
        <v>123.3</v>
      </c>
      <c r="GK29" s="382">
        <v>116.7</v>
      </c>
      <c r="GL29" s="382">
        <v>121.6</v>
      </c>
      <c r="GM29" s="382">
        <v>110.6</v>
      </c>
      <c r="GN29" s="382">
        <v>113.4</v>
      </c>
      <c r="GO29" s="382">
        <v>112.1</v>
      </c>
      <c r="GP29" s="382">
        <v>115.8</v>
      </c>
      <c r="GQ29" s="382">
        <v>115.9</v>
      </c>
      <c r="GR29" s="382">
        <v>117.4</v>
      </c>
      <c r="GS29" s="382">
        <v>115.5</v>
      </c>
      <c r="GT29" s="382">
        <v>96.9</v>
      </c>
      <c r="GU29" s="382">
        <v>115.3</v>
      </c>
      <c r="GV29" s="382">
        <v>115.2</v>
      </c>
      <c r="GW29" s="382">
        <v>128.1</v>
      </c>
      <c r="GX29" s="382">
        <v>125.6</v>
      </c>
      <c r="GY29" s="382">
        <v>120.8</v>
      </c>
      <c r="GZ29" s="382">
        <v>126.8</v>
      </c>
      <c r="HA29" s="382">
        <v>121.9</v>
      </c>
      <c r="HB29" s="382">
        <v>131.19999999999999</v>
      </c>
      <c r="HC29" s="382">
        <v>127.1</v>
      </c>
      <c r="HD29" s="382">
        <v>115.2</v>
      </c>
    </row>
    <row r="30" spans="1:212" s="231" customFormat="1" ht="22.05" customHeight="1" x14ac:dyDescent="0.25">
      <c r="A30" s="381">
        <v>1998</v>
      </c>
      <c r="B30" s="382">
        <v>96.2</v>
      </c>
      <c r="C30" s="382">
        <v>94</v>
      </c>
      <c r="D30" s="382">
        <v>94.8</v>
      </c>
      <c r="E30" s="382">
        <v>90.3</v>
      </c>
      <c r="F30" s="382">
        <v>89.8</v>
      </c>
      <c r="G30" s="382">
        <v>143.80000000000001</v>
      </c>
      <c r="H30" s="382">
        <v>102.1</v>
      </c>
      <c r="I30" s="382">
        <v>101</v>
      </c>
      <c r="J30" s="382">
        <v>90.6</v>
      </c>
      <c r="K30" s="382">
        <v>91.4</v>
      </c>
      <c r="L30" s="382">
        <v>125.2</v>
      </c>
      <c r="M30" s="382">
        <v>120.3</v>
      </c>
      <c r="N30" s="382">
        <v>123.9</v>
      </c>
      <c r="O30" s="382">
        <v>125.8</v>
      </c>
      <c r="P30" s="382">
        <v>124.7</v>
      </c>
      <c r="Q30" s="382">
        <v>123.7</v>
      </c>
      <c r="R30" s="382">
        <v>125.9</v>
      </c>
      <c r="S30" s="382">
        <v>121.3</v>
      </c>
      <c r="T30" s="382">
        <v>141.9</v>
      </c>
      <c r="U30" s="382">
        <v>123.7</v>
      </c>
      <c r="V30" s="382">
        <v>124.7</v>
      </c>
      <c r="W30" s="382">
        <v>132.5</v>
      </c>
      <c r="X30" s="382">
        <v>103.3</v>
      </c>
      <c r="Y30" s="382">
        <v>106.5</v>
      </c>
      <c r="Z30" s="382">
        <v>103.7</v>
      </c>
      <c r="AA30" s="382">
        <v>119.1</v>
      </c>
      <c r="AB30" s="382">
        <v>119.4</v>
      </c>
      <c r="AC30" s="382">
        <v>120</v>
      </c>
      <c r="AD30" s="382">
        <v>119.7</v>
      </c>
      <c r="AE30" s="382">
        <v>120</v>
      </c>
      <c r="AF30" s="382">
        <v>118.8</v>
      </c>
      <c r="AG30" s="382">
        <v>120.8</v>
      </c>
      <c r="AH30" s="382">
        <v>120.1</v>
      </c>
      <c r="AI30" s="382">
        <v>112.3</v>
      </c>
      <c r="AJ30" s="382">
        <v>109.6</v>
      </c>
      <c r="AK30" s="382">
        <v>99.4</v>
      </c>
      <c r="AL30" s="382">
        <v>96.2</v>
      </c>
      <c r="AM30" s="382">
        <v>99</v>
      </c>
      <c r="AN30" s="382">
        <v>98.4</v>
      </c>
      <c r="AO30" s="382">
        <v>90.9</v>
      </c>
      <c r="AP30" s="382">
        <v>96.3</v>
      </c>
      <c r="AQ30" s="382">
        <v>91.4</v>
      </c>
      <c r="AR30" s="382">
        <v>100.8</v>
      </c>
      <c r="AS30" s="382">
        <v>90.4</v>
      </c>
      <c r="AT30" s="382">
        <v>93.3</v>
      </c>
      <c r="AU30" s="382">
        <v>93.7</v>
      </c>
      <c r="AV30" s="382">
        <v>140.4</v>
      </c>
      <c r="AW30" s="382">
        <v>107.4</v>
      </c>
      <c r="AX30" s="382">
        <v>107</v>
      </c>
      <c r="AY30" s="382">
        <v>125.2</v>
      </c>
      <c r="AZ30" s="382">
        <v>110.1</v>
      </c>
      <c r="BA30" s="382">
        <v>119.8</v>
      </c>
      <c r="BB30" s="382">
        <v>113.8</v>
      </c>
      <c r="BC30" s="382">
        <v>115.5</v>
      </c>
      <c r="BD30" s="382">
        <v>111.1</v>
      </c>
      <c r="BE30" s="382">
        <v>105</v>
      </c>
      <c r="BF30" s="382">
        <v>107.2</v>
      </c>
      <c r="BG30" s="382">
        <v>104.5</v>
      </c>
      <c r="BH30" s="382">
        <v>111.1</v>
      </c>
      <c r="BI30" s="382">
        <v>108</v>
      </c>
      <c r="BJ30" s="382">
        <v>103.6</v>
      </c>
      <c r="BK30" s="382">
        <v>102.3</v>
      </c>
      <c r="BL30" s="382">
        <v>106</v>
      </c>
      <c r="BM30" s="382">
        <v>102.5</v>
      </c>
      <c r="BN30" s="382">
        <v>106.8</v>
      </c>
      <c r="BO30" s="382">
        <v>103.8</v>
      </c>
      <c r="BP30" s="382">
        <v>95.1</v>
      </c>
      <c r="BQ30" s="382">
        <v>94.8</v>
      </c>
      <c r="BR30" s="382">
        <v>97.4</v>
      </c>
      <c r="BS30" s="382">
        <v>97.4</v>
      </c>
      <c r="BT30" s="382">
        <v>97.4</v>
      </c>
      <c r="BU30" s="382">
        <v>101.5</v>
      </c>
      <c r="BV30" s="382">
        <v>94.7</v>
      </c>
      <c r="BW30" s="382">
        <v>96.1</v>
      </c>
      <c r="BX30" s="382">
        <v>97.7</v>
      </c>
      <c r="BY30" s="382">
        <v>92</v>
      </c>
      <c r="BZ30" s="382">
        <v>102.8</v>
      </c>
      <c r="CA30" s="382">
        <v>102.5</v>
      </c>
      <c r="CB30" s="382">
        <v>104.1</v>
      </c>
      <c r="CC30" s="382">
        <v>132.80000000000001</v>
      </c>
      <c r="CD30" s="382">
        <v>125</v>
      </c>
      <c r="CE30" s="382">
        <v>124.7</v>
      </c>
      <c r="CF30" s="382">
        <v>125</v>
      </c>
      <c r="CG30" s="382">
        <v>125.3</v>
      </c>
      <c r="CH30" s="382">
        <v>124.6</v>
      </c>
      <c r="CI30" s="382">
        <v>114.2</v>
      </c>
      <c r="CJ30" s="382">
        <v>117.1</v>
      </c>
      <c r="CK30" s="382">
        <v>122.6</v>
      </c>
      <c r="CL30" s="382">
        <v>116</v>
      </c>
      <c r="CM30" s="382">
        <v>119.7</v>
      </c>
      <c r="CN30" s="382">
        <v>119.5</v>
      </c>
      <c r="CO30" s="382">
        <v>112.3</v>
      </c>
      <c r="CP30" s="382">
        <v>99.7</v>
      </c>
      <c r="CQ30" s="382">
        <v>104.9</v>
      </c>
      <c r="CR30" s="382">
        <v>110.1</v>
      </c>
      <c r="CS30" s="382">
        <v>108.7</v>
      </c>
      <c r="CT30" s="382">
        <v>117.7</v>
      </c>
      <c r="CU30" s="382">
        <v>124.6</v>
      </c>
      <c r="CV30" s="382">
        <v>115.5</v>
      </c>
      <c r="CW30" s="382">
        <v>92.1</v>
      </c>
      <c r="CX30" s="382">
        <v>89.5</v>
      </c>
      <c r="CY30" s="382">
        <v>108.2</v>
      </c>
      <c r="CZ30" s="382">
        <v>104.2</v>
      </c>
      <c r="DA30" s="382">
        <v>115.9</v>
      </c>
      <c r="DB30" s="382">
        <v>98.9</v>
      </c>
      <c r="DC30" s="382">
        <v>109.7</v>
      </c>
      <c r="DD30" s="382">
        <v>109.1</v>
      </c>
      <c r="DE30" s="382">
        <v>94.9</v>
      </c>
      <c r="DF30" s="382">
        <v>101.2</v>
      </c>
      <c r="DG30" s="382">
        <v>118.1</v>
      </c>
      <c r="DH30" s="382">
        <v>111.4</v>
      </c>
      <c r="DI30" s="382">
        <v>110.1</v>
      </c>
      <c r="DJ30" s="382">
        <v>110</v>
      </c>
      <c r="DK30" s="382">
        <v>124.3</v>
      </c>
      <c r="DL30" s="382">
        <v>127.7</v>
      </c>
      <c r="DM30" s="382">
        <v>128.9</v>
      </c>
      <c r="DN30" s="382">
        <v>128.5</v>
      </c>
      <c r="DO30" s="382">
        <v>127.9</v>
      </c>
      <c r="DP30" s="382">
        <v>103.8</v>
      </c>
      <c r="DQ30" s="382">
        <v>113</v>
      </c>
      <c r="DR30" s="382">
        <v>109</v>
      </c>
      <c r="DS30" s="382">
        <v>119.1</v>
      </c>
      <c r="DT30" s="382">
        <v>154.4</v>
      </c>
      <c r="DU30" s="382">
        <v>117.2</v>
      </c>
      <c r="DV30" s="382">
        <v>114.2</v>
      </c>
      <c r="DW30" s="382">
        <v>113.6</v>
      </c>
      <c r="DX30" s="382">
        <v>108.6</v>
      </c>
      <c r="DY30" s="382">
        <v>141.4</v>
      </c>
      <c r="DZ30" s="382">
        <v>88.2</v>
      </c>
      <c r="EA30" s="382">
        <v>89.1</v>
      </c>
      <c r="EB30" s="382">
        <v>89.2</v>
      </c>
      <c r="EC30" s="382">
        <v>89.4</v>
      </c>
      <c r="ED30" s="382">
        <v>89</v>
      </c>
      <c r="EE30" s="382">
        <v>95.2</v>
      </c>
      <c r="EF30" s="382">
        <v>113.1</v>
      </c>
      <c r="EG30" s="382">
        <v>108.5</v>
      </c>
      <c r="EH30" s="382">
        <v>105</v>
      </c>
      <c r="EI30" s="382">
        <v>114.8</v>
      </c>
      <c r="EJ30" s="382">
        <v>106.8</v>
      </c>
      <c r="EK30" s="382">
        <v>104.5</v>
      </c>
      <c r="EL30" s="382">
        <v>109.4</v>
      </c>
      <c r="EM30" s="382">
        <v>104.1</v>
      </c>
      <c r="EN30" s="382">
        <v>111.2</v>
      </c>
      <c r="EO30" s="382">
        <v>109</v>
      </c>
      <c r="EP30" s="382">
        <v>94.3</v>
      </c>
      <c r="EQ30" s="382">
        <v>94.5</v>
      </c>
      <c r="ER30" s="382">
        <v>94.5</v>
      </c>
      <c r="ES30" s="382">
        <v>120</v>
      </c>
      <c r="ET30" s="382">
        <v>122.2</v>
      </c>
      <c r="EU30" s="382">
        <v>115.7</v>
      </c>
      <c r="EV30" s="382">
        <v>109.8</v>
      </c>
      <c r="EW30" s="382">
        <v>110.5</v>
      </c>
      <c r="EX30" s="382">
        <v>126.6</v>
      </c>
      <c r="EY30" s="382">
        <v>117.1</v>
      </c>
      <c r="EZ30" s="382">
        <v>112.5</v>
      </c>
      <c r="FA30" s="382">
        <v>113.7</v>
      </c>
      <c r="FB30" s="382">
        <v>120.3</v>
      </c>
      <c r="FC30" s="382">
        <v>88</v>
      </c>
      <c r="FD30" s="382">
        <v>87.2</v>
      </c>
      <c r="FE30" s="382">
        <v>90.7</v>
      </c>
      <c r="FF30" s="382">
        <v>93.6</v>
      </c>
      <c r="FG30" s="382">
        <v>94.9</v>
      </c>
      <c r="FH30" s="382">
        <v>92.4</v>
      </c>
      <c r="FI30" s="382">
        <v>97.2</v>
      </c>
      <c r="FJ30" s="382">
        <v>96.8</v>
      </c>
      <c r="FK30" s="382">
        <v>89.8</v>
      </c>
      <c r="FL30" s="382">
        <v>92.7</v>
      </c>
      <c r="FM30" s="382">
        <v>94.2</v>
      </c>
      <c r="FN30" s="382">
        <v>97.9</v>
      </c>
      <c r="FO30" s="382">
        <v>91.8</v>
      </c>
      <c r="FP30" s="382">
        <v>97.9</v>
      </c>
      <c r="FQ30" s="382">
        <v>88.4</v>
      </c>
      <c r="FR30" s="382">
        <v>94.5</v>
      </c>
      <c r="FS30" s="382">
        <v>101.3</v>
      </c>
      <c r="FT30" s="382">
        <v>93.3</v>
      </c>
      <c r="FU30" s="382">
        <v>90.1</v>
      </c>
      <c r="FV30" s="382">
        <v>94.8</v>
      </c>
      <c r="FW30" s="382">
        <v>92.7</v>
      </c>
      <c r="FX30" s="382">
        <v>92.9</v>
      </c>
      <c r="FY30" s="382">
        <v>98.5</v>
      </c>
      <c r="FZ30" s="382">
        <v>99.5</v>
      </c>
      <c r="GA30" s="382">
        <v>97.8</v>
      </c>
      <c r="GB30" s="382">
        <v>97.3</v>
      </c>
      <c r="GC30" s="382">
        <v>104.1</v>
      </c>
      <c r="GD30" s="382">
        <v>93.7</v>
      </c>
      <c r="GE30" s="382">
        <v>93.9</v>
      </c>
      <c r="GF30" s="373">
        <f t="shared" si="0"/>
        <v>95.35</v>
      </c>
      <c r="GG30" s="373">
        <f t="shared" si="1"/>
        <v>100.55</v>
      </c>
      <c r="GH30" s="382">
        <v>97</v>
      </c>
      <c r="GI30" s="382">
        <v>88.3</v>
      </c>
      <c r="GJ30" s="382">
        <v>119.4</v>
      </c>
      <c r="GK30" s="382">
        <v>114.3</v>
      </c>
      <c r="GL30" s="382">
        <v>118.3</v>
      </c>
      <c r="GM30" s="382">
        <v>106.7</v>
      </c>
      <c r="GN30" s="382">
        <v>109</v>
      </c>
      <c r="GO30" s="382">
        <v>109.5</v>
      </c>
      <c r="GP30" s="382">
        <v>112.9</v>
      </c>
      <c r="GQ30" s="382">
        <v>110.8</v>
      </c>
      <c r="GR30" s="382">
        <v>113.4</v>
      </c>
      <c r="GS30" s="382">
        <v>112.7</v>
      </c>
      <c r="GT30" s="382">
        <v>95.4</v>
      </c>
      <c r="GU30" s="382">
        <v>112.5</v>
      </c>
      <c r="GV30" s="382">
        <v>112.4</v>
      </c>
      <c r="GW30" s="382">
        <v>126.3</v>
      </c>
      <c r="GX30" s="382">
        <v>123.9</v>
      </c>
      <c r="GY30" s="382">
        <v>119</v>
      </c>
      <c r="GZ30" s="382">
        <v>124.7</v>
      </c>
      <c r="HA30" s="382">
        <v>119.6</v>
      </c>
      <c r="HB30" s="382">
        <v>128.5</v>
      </c>
      <c r="HC30" s="382">
        <v>123.8</v>
      </c>
      <c r="HD30" s="382">
        <v>113.7</v>
      </c>
    </row>
    <row r="31" spans="1:212"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row>
  </sheetData>
  <sheetProtection algorithmName="SHA-512" hashValue="y7PsY4QSJiq1g21t/4frllo67Jzrt9kvGTobO511tom5qJnB9AQ824PWktuJvtHvkozJtnD2B8VRGQHNu6Fe5A==" saltValue="1k1rIrc2fMG3diGv845qrw==" spinCount="100000" sheet="1" objects="1" scenarios="1"/>
  <mergeCells count="45">
    <mergeCell ref="GC2:GI2"/>
    <mergeCell ref="GF3:GG3"/>
    <mergeCell ref="EP4:ER4"/>
    <mergeCell ref="GC4:GI4"/>
    <mergeCell ref="GJ4:GL4"/>
    <mergeCell ref="GO4:GS4"/>
    <mergeCell ref="GU4:HD4"/>
    <mergeCell ref="ES4:ET4"/>
    <mergeCell ref="EU4:FA4"/>
    <mergeCell ref="FC4:FD4"/>
    <mergeCell ref="FE4:FF4"/>
    <mergeCell ref="FY4:FZ4"/>
    <mergeCell ref="GA4:GB4"/>
    <mergeCell ref="FG4:FJ4"/>
    <mergeCell ref="GM4:GN4"/>
    <mergeCell ref="DG4:DH4"/>
    <mergeCell ref="FK4:FX4"/>
    <mergeCell ref="DI4:DJ4"/>
    <mergeCell ref="DK4:DO4"/>
    <mergeCell ref="DQ4:DY4"/>
    <mergeCell ref="DZ4:ED4"/>
    <mergeCell ref="EF4:EO4"/>
    <mergeCell ref="CT4:CV4"/>
    <mergeCell ref="CW4:CX4"/>
    <mergeCell ref="CY4:DB4"/>
    <mergeCell ref="DC4:DD4"/>
    <mergeCell ref="DE4:DF4"/>
    <mergeCell ref="BT4:BU4"/>
    <mergeCell ref="BV4:BY4"/>
    <mergeCell ref="BZ4:CA4"/>
    <mergeCell ref="CC4:CK4"/>
    <mergeCell ref="CL4:CS4"/>
    <mergeCell ref="AW4:AX4"/>
    <mergeCell ref="AY4:BD4"/>
    <mergeCell ref="BE4:BL4"/>
    <mergeCell ref="BM4:BQ4"/>
    <mergeCell ref="BR4:BS4"/>
    <mergeCell ref="AK4:AP4"/>
    <mergeCell ref="AQ4:AU4"/>
    <mergeCell ref="B4:F4"/>
    <mergeCell ref="H4:I4"/>
    <mergeCell ref="J4:K4"/>
    <mergeCell ref="L4:W4"/>
    <mergeCell ref="X4:Z4"/>
    <mergeCell ref="AA4:AH4"/>
  </mergeCells>
  <hyperlinks>
    <hyperlink ref="A1" location="Index!A1" display="&lt; Return to Index"/>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130" zoomScaleNormal="130" zoomScaleSheetLayoutView="100" workbookViewId="0">
      <pane ySplit="6" topLeftCell="A7" activePane="bottomLeft" state="frozen"/>
      <selection activeCell="D56" sqref="D56"/>
      <selection pane="bottomLeft" activeCell="F2" sqref="F2"/>
    </sheetView>
  </sheetViews>
  <sheetFormatPr defaultRowHeight="13.2" x14ac:dyDescent="0.25"/>
  <cols>
    <col min="1" max="1" width="4" style="87" customWidth="1"/>
    <col min="2" max="2" width="3" style="87" customWidth="1"/>
    <col min="3" max="3" width="9.109375" style="87"/>
    <col min="4" max="4" width="39.5546875" style="87" customWidth="1"/>
    <col min="5" max="5" width="12.6640625" style="87" customWidth="1"/>
    <col min="6" max="6" width="12.6640625" style="94" customWidth="1"/>
    <col min="7" max="7" width="12.6640625" style="87" customWidth="1"/>
    <col min="8" max="8" width="12.6640625" style="94" customWidth="1"/>
    <col min="9" max="16" width="12.6640625" style="87" customWidth="1"/>
    <col min="17" max="256" width="9.109375" style="87"/>
    <col min="257" max="257" width="4" style="87" customWidth="1"/>
    <col min="258" max="258" width="3" style="87" customWidth="1"/>
    <col min="259" max="259" width="9.109375" style="87"/>
    <col min="260" max="260" width="30.88671875" style="87" customWidth="1"/>
    <col min="261" max="272" width="12.6640625" style="87" customWidth="1"/>
    <col min="273" max="512" width="9.109375" style="87"/>
    <col min="513" max="513" width="4" style="87" customWidth="1"/>
    <col min="514" max="514" width="3" style="87" customWidth="1"/>
    <col min="515" max="515" width="9.109375" style="87"/>
    <col min="516" max="516" width="30.88671875" style="87" customWidth="1"/>
    <col min="517" max="528" width="12.6640625" style="87" customWidth="1"/>
    <col min="529" max="768" width="9.109375" style="87"/>
    <col min="769" max="769" width="4" style="87" customWidth="1"/>
    <col min="770" max="770" width="3" style="87" customWidth="1"/>
    <col min="771" max="771" width="9.109375" style="87"/>
    <col min="772" max="772" width="30.88671875" style="87" customWidth="1"/>
    <col min="773" max="784" width="12.6640625" style="87" customWidth="1"/>
    <col min="785" max="1024" width="9.109375" style="87"/>
    <col min="1025" max="1025" width="4" style="87" customWidth="1"/>
    <col min="1026" max="1026" width="3" style="87" customWidth="1"/>
    <col min="1027" max="1027" width="9.109375" style="87"/>
    <col min="1028" max="1028" width="30.88671875" style="87" customWidth="1"/>
    <col min="1029" max="1040" width="12.6640625" style="87" customWidth="1"/>
    <col min="1041" max="1280" width="9.109375" style="87"/>
    <col min="1281" max="1281" width="4" style="87" customWidth="1"/>
    <col min="1282" max="1282" width="3" style="87" customWidth="1"/>
    <col min="1283" max="1283" width="9.109375" style="87"/>
    <col min="1284" max="1284" width="30.88671875" style="87" customWidth="1"/>
    <col min="1285" max="1296" width="12.6640625" style="87" customWidth="1"/>
    <col min="1297" max="1536" width="9.109375" style="87"/>
    <col min="1537" max="1537" width="4" style="87" customWidth="1"/>
    <col min="1538" max="1538" width="3" style="87" customWidth="1"/>
    <col min="1539" max="1539" width="9.109375" style="87"/>
    <col min="1540" max="1540" width="30.88671875" style="87" customWidth="1"/>
    <col min="1541" max="1552" width="12.6640625" style="87" customWidth="1"/>
    <col min="1553" max="1792" width="9.109375" style="87"/>
    <col min="1793" max="1793" width="4" style="87" customWidth="1"/>
    <col min="1794" max="1794" width="3" style="87" customWidth="1"/>
    <col min="1795" max="1795" width="9.109375" style="87"/>
    <col min="1796" max="1796" width="30.88671875" style="87" customWidth="1"/>
    <col min="1797" max="1808" width="12.6640625" style="87" customWidth="1"/>
    <col min="1809" max="2048" width="9.109375" style="87"/>
    <col min="2049" max="2049" width="4" style="87" customWidth="1"/>
    <col min="2050" max="2050" width="3" style="87" customWidth="1"/>
    <col min="2051" max="2051" width="9.109375" style="87"/>
    <col min="2052" max="2052" width="30.88671875" style="87" customWidth="1"/>
    <col min="2053" max="2064" width="12.6640625" style="87" customWidth="1"/>
    <col min="2065" max="2304" width="9.109375" style="87"/>
    <col min="2305" max="2305" width="4" style="87" customWidth="1"/>
    <col min="2306" max="2306" width="3" style="87" customWidth="1"/>
    <col min="2307" max="2307" width="9.109375" style="87"/>
    <col min="2308" max="2308" width="30.88671875" style="87" customWidth="1"/>
    <col min="2309" max="2320" width="12.6640625" style="87" customWidth="1"/>
    <col min="2321" max="2560" width="9.109375" style="87"/>
    <col min="2561" max="2561" width="4" style="87" customWidth="1"/>
    <col min="2562" max="2562" width="3" style="87" customWidth="1"/>
    <col min="2563" max="2563" width="9.109375" style="87"/>
    <col min="2564" max="2564" width="30.88671875" style="87" customWidth="1"/>
    <col min="2565" max="2576" width="12.6640625" style="87" customWidth="1"/>
    <col min="2577" max="2816" width="9.109375" style="87"/>
    <col min="2817" max="2817" width="4" style="87" customWidth="1"/>
    <col min="2818" max="2818" width="3" style="87" customWidth="1"/>
    <col min="2819" max="2819" width="9.109375" style="87"/>
    <col min="2820" max="2820" width="30.88671875" style="87" customWidth="1"/>
    <col min="2821" max="2832" width="12.6640625" style="87" customWidth="1"/>
    <col min="2833" max="3072" width="9.109375" style="87"/>
    <col min="3073" max="3073" width="4" style="87" customWidth="1"/>
    <col min="3074" max="3074" width="3" style="87" customWidth="1"/>
    <col min="3075" max="3075" width="9.109375" style="87"/>
    <col min="3076" max="3076" width="30.88671875" style="87" customWidth="1"/>
    <col min="3077" max="3088" width="12.6640625" style="87" customWidth="1"/>
    <col min="3089" max="3328" width="9.109375" style="87"/>
    <col min="3329" max="3329" width="4" style="87" customWidth="1"/>
    <col min="3330" max="3330" width="3" style="87" customWidth="1"/>
    <col min="3331" max="3331" width="9.109375" style="87"/>
    <col min="3332" max="3332" width="30.88671875" style="87" customWidth="1"/>
    <col min="3333" max="3344" width="12.6640625" style="87" customWidth="1"/>
    <col min="3345" max="3584" width="9.109375" style="87"/>
    <col min="3585" max="3585" width="4" style="87" customWidth="1"/>
    <col min="3586" max="3586" width="3" style="87" customWidth="1"/>
    <col min="3587" max="3587" width="9.109375" style="87"/>
    <col min="3588" max="3588" width="30.88671875" style="87" customWidth="1"/>
    <col min="3589" max="3600" width="12.6640625" style="87" customWidth="1"/>
    <col min="3601" max="3840" width="9.109375" style="87"/>
    <col min="3841" max="3841" width="4" style="87" customWidth="1"/>
    <col min="3842" max="3842" width="3" style="87" customWidth="1"/>
    <col min="3843" max="3843" width="9.109375" style="87"/>
    <col min="3844" max="3844" width="30.88671875" style="87" customWidth="1"/>
    <col min="3845" max="3856" width="12.6640625" style="87" customWidth="1"/>
    <col min="3857" max="4096" width="9.109375" style="87"/>
    <col min="4097" max="4097" width="4" style="87" customWidth="1"/>
    <col min="4098" max="4098" width="3" style="87" customWidth="1"/>
    <col min="4099" max="4099" width="9.109375" style="87"/>
    <col min="4100" max="4100" width="30.88671875" style="87" customWidth="1"/>
    <col min="4101" max="4112" width="12.6640625" style="87" customWidth="1"/>
    <col min="4113" max="4352" width="9.109375" style="87"/>
    <col min="4353" max="4353" width="4" style="87" customWidth="1"/>
    <col min="4354" max="4354" width="3" style="87" customWidth="1"/>
    <col min="4355" max="4355" width="9.109375" style="87"/>
    <col min="4356" max="4356" width="30.88671875" style="87" customWidth="1"/>
    <col min="4357" max="4368" width="12.6640625" style="87" customWidth="1"/>
    <col min="4369" max="4608" width="9.109375" style="87"/>
    <col min="4609" max="4609" width="4" style="87" customWidth="1"/>
    <col min="4610" max="4610" width="3" style="87" customWidth="1"/>
    <col min="4611" max="4611" width="9.109375" style="87"/>
    <col min="4612" max="4612" width="30.88671875" style="87" customWidth="1"/>
    <col min="4613" max="4624" width="12.6640625" style="87" customWidth="1"/>
    <col min="4625" max="4864" width="9.109375" style="87"/>
    <col min="4865" max="4865" width="4" style="87" customWidth="1"/>
    <col min="4866" max="4866" width="3" style="87" customWidth="1"/>
    <col min="4867" max="4867" width="9.109375" style="87"/>
    <col min="4868" max="4868" width="30.88671875" style="87" customWidth="1"/>
    <col min="4869" max="4880" width="12.6640625" style="87" customWidth="1"/>
    <col min="4881" max="5120" width="9.109375" style="87"/>
    <col min="5121" max="5121" width="4" style="87" customWidth="1"/>
    <col min="5122" max="5122" width="3" style="87" customWidth="1"/>
    <col min="5123" max="5123" width="9.109375" style="87"/>
    <col min="5124" max="5124" width="30.88671875" style="87" customWidth="1"/>
    <col min="5125" max="5136" width="12.6640625" style="87" customWidth="1"/>
    <col min="5137" max="5376" width="9.109375" style="87"/>
    <col min="5377" max="5377" width="4" style="87" customWidth="1"/>
    <col min="5378" max="5378" width="3" style="87" customWidth="1"/>
    <col min="5379" max="5379" width="9.109375" style="87"/>
    <col min="5380" max="5380" width="30.88671875" style="87" customWidth="1"/>
    <col min="5381" max="5392" width="12.6640625" style="87" customWidth="1"/>
    <col min="5393" max="5632" width="9.109375" style="87"/>
    <col min="5633" max="5633" width="4" style="87" customWidth="1"/>
    <col min="5634" max="5634" width="3" style="87" customWidth="1"/>
    <col min="5635" max="5635" width="9.109375" style="87"/>
    <col min="5636" max="5636" width="30.88671875" style="87" customWidth="1"/>
    <col min="5637" max="5648" width="12.6640625" style="87" customWidth="1"/>
    <col min="5649" max="5888" width="9.109375" style="87"/>
    <col min="5889" max="5889" width="4" style="87" customWidth="1"/>
    <col min="5890" max="5890" width="3" style="87" customWidth="1"/>
    <col min="5891" max="5891" width="9.109375" style="87"/>
    <col min="5892" max="5892" width="30.88671875" style="87" customWidth="1"/>
    <col min="5893" max="5904" width="12.6640625" style="87" customWidth="1"/>
    <col min="5905" max="6144" width="9.109375" style="87"/>
    <col min="6145" max="6145" width="4" style="87" customWidth="1"/>
    <col min="6146" max="6146" width="3" style="87" customWidth="1"/>
    <col min="6147" max="6147" width="9.109375" style="87"/>
    <col min="6148" max="6148" width="30.88671875" style="87" customWidth="1"/>
    <col min="6149" max="6160" width="12.6640625" style="87" customWidth="1"/>
    <col min="6161" max="6400" width="9.109375" style="87"/>
    <col min="6401" max="6401" width="4" style="87" customWidth="1"/>
    <col min="6402" max="6402" width="3" style="87" customWidth="1"/>
    <col min="6403" max="6403" width="9.109375" style="87"/>
    <col min="6404" max="6404" width="30.88671875" style="87" customWidth="1"/>
    <col min="6405" max="6416" width="12.6640625" style="87" customWidth="1"/>
    <col min="6417" max="6656" width="9.109375" style="87"/>
    <col min="6657" max="6657" width="4" style="87" customWidth="1"/>
    <col min="6658" max="6658" width="3" style="87" customWidth="1"/>
    <col min="6659" max="6659" width="9.109375" style="87"/>
    <col min="6660" max="6660" width="30.88671875" style="87" customWidth="1"/>
    <col min="6661" max="6672" width="12.6640625" style="87" customWidth="1"/>
    <col min="6673" max="6912" width="9.109375" style="87"/>
    <col min="6913" max="6913" width="4" style="87" customWidth="1"/>
    <col min="6914" max="6914" width="3" style="87" customWidth="1"/>
    <col min="6915" max="6915" width="9.109375" style="87"/>
    <col min="6916" max="6916" width="30.88671875" style="87" customWidth="1"/>
    <col min="6917" max="6928" width="12.6640625" style="87" customWidth="1"/>
    <col min="6929" max="7168" width="9.109375" style="87"/>
    <col min="7169" max="7169" width="4" style="87" customWidth="1"/>
    <col min="7170" max="7170" width="3" style="87" customWidth="1"/>
    <col min="7171" max="7171" width="9.109375" style="87"/>
    <col min="7172" max="7172" width="30.88671875" style="87" customWidth="1"/>
    <col min="7173" max="7184" width="12.6640625" style="87" customWidth="1"/>
    <col min="7185" max="7424" width="9.109375" style="87"/>
    <col min="7425" max="7425" width="4" style="87" customWidth="1"/>
    <col min="7426" max="7426" width="3" style="87" customWidth="1"/>
    <col min="7427" max="7427" width="9.109375" style="87"/>
    <col min="7428" max="7428" width="30.88671875" style="87" customWidth="1"/>
    <col min="7429" max="7440" width="12.6640625" style="87" customWidth="1"/>
    <col min="7441" max="7680" width="9.109375" style="87"/>
    <col min="7681" max="7681" width="4" style="87" customWidth="1"/>
    <col min="7682" max="7682" width="3" style="87" customWidth="1"/>
    <col min="7683" max="7683" width="9.109375" style="87"/>
    <col min="7684" max="7684" width="30.88671875" style="87" customWidth="1"/>
    <col min="7685" max="7696" width="12.6640625" style="87" customWidth="1"/>
    <col min="7697" max="7936" width="9.109375" style="87"/>
    <col min="7937" max="7937" width="4" style="87" customWidth="1"/>
    <col min="7938" max="7938" width="3" style="87" customWidth="1"/>
    <col min="7939" max="7939" width="9.109375" style="87"/>
    <col min="7940" max="7940" width="30.88671875" style="87" customWidth="1"/>
    <col min="7941" max="7952" width="12.6640625" style="87" customWidth="1"/>
    <col min="7953" max="8192" width="9.109375" style="87"/>
    <col min="8193" max="8193" width="4" style="87" customWidth="1"/>
    <col min="8194" max="8194" width="3" style="87" customWidth="1"/>
    <col min="8195" max="8195" width="9.109375" style="87"/>
    <col min="8196" max="8196" width="30.88671875" style="87" customWidth="1"/>
    <col min="8197" max="8208" width="12.6640625" style="87" customWidth="1"/>
    <col min="8209" max="8448" width="9.109375" style="87"/>
    <col min="8449" max="8449" width="4" style="87" customWidth="1"/>
    <col min="8450" max="8450" width="3" style="87" customWidth="1"/>
    <col min="8451" max="8451" width="9.109375" style="87"/>
    <col min="8452" max="8452" width="30.88671875" style="87" customWidth="1"/>
    <col min="8453" max="8464" width="12.6640625" style="87" customWidth="1"/>
    <col min="8465" max="8704" width="9.109375" style="87"/>
    <col min="8705" max="8705" width="4" style="87" customWidth="1"/>
    <col min="8706" max="8706" width="3" style="87" customWidth="1"/>
    <col min="8707" max="8707" width="9.109375" style="87"/>
    <col min="8708" max="8708" width="30.88671875" style="87" customWidth="1"/>
    <col min="8709" max="8720" width="12.6640625" style="87" customWidth="1"/>
    <col min="8721" max="8960" width="9.109375" style="87"/>
    <col min="8961" max="8961" width="4" style="87" customWidth="1"/>
    <col min="8962" max="8962" width="3" style="87" customWidth="1"/>
    <col min="8963" max="8963" width="9.109375" style="87"/>
    <col min="8964" max="8964" width="30.88671875" style="87" customWidth="1"/>
    <col min="8965" max="8976" width="12.6640625" style="87" customWidth="1"/>
    <col min="8977" max="9216" width="9.109375" style="87"/>
    <col min="9217" max="9217" width="4" style="87" customWidth="1"/>
    <col min="9218" max="9218" width="3" style="87" customWidth="1"/>
    <col min="9219" max="9219" width="9.109375" style="87"/>
    <col min="9220" max="9220" width="30.88671875" style="87" customWidth="1"/>
    <col min="9221" max="9232" width="12.6640625" style="87" customWidth="1"/>
    <col min="9233" max="9472" width="9.109375" style="87"/>
    <col min="9473" max="9473" width="4" style="87" customWidth="1"/>
    <col min="9474" max="9474" width="3" style="87" customWidth="1"/>
    <col min="9475" max="9475" width="9.109375" style="87"/>
    <col min="9476" max="9476" width="30.88671875" style="87" customWidth="1"/>
    <col min="9477" max="9488" width="12.6640625" style="87" customWidth="1"/>
    <col min="9489" max="9728" width="9.109375" style="87"/>
    <col min="9729" max="9729" width="4" style="87" customWidth="1"/>
    <col min="9730" max="9730" width="3" style="87" customWidth="1"/>
    <col min="9731" max="9731" width="9.109375" style="87"/>
    <col min="9732" max="9732" width="30.88671875" style="87" customWidth="1"/>
    <col min="9733" max="9744" width="12.6640625" style="87" customWidth="1"/>
    <col min="9745" max="9984" width="9.109375" style="87"/>
    <col min="9985" max="9985" width="4" style="87" customWidth="1"/>
    <col min="9986" max="9986" width="3" style="87" customWidth="1"/>
    <col min="9987" max="9987" width="9.109375" style="87"/>
    <col min="9988" max="9988" width="30.88671875" style="87" customWidth="1"/>
    <col min="9989" max="10000" width="12.6640625" style="87" customWidth="1"/>
    <col min="10001" max="10240" width="9.109375" style="87"/>
    <col min="10241" max="10241" width="4" style="87" customWidth="1"/>
    <col min="10242" max="10242" width="3" style="87" customWidth="1"/>
    <col min="10243" max="10243" width="9.109375" style="87"/>
    <col min="10244" max="10244" width="30.88671875" style="87" customWidth="1"/>
    <col min="10245" max="10256" width="12.6640625" style="87" customWidth="1"/>
    <col min="10257" max="10496" width="9.109375" style="87"/>
    <col min="10497" max="10497" width="4" style="87" customWidth="1"/>
    <col min="10498" max="10498" width="3" style="87" customWidth="1"/>
    <col min="10499" max="10499" width="9.109375" style="87"/>
    <col min="10500" max="10500" width="30.88671875" style="87" customWidth="1"/>
    <col min="10501" max="10512" width="12.6640625" style="87" customWidth="1"/>
    <col min="10513" max="10752" width="9.109375" style="87"/>
    <col min="10753" max="10753" width="4" style="87" customWidth="1"/>
    <col min="10754" max="10754" width="3" style="87" customWidth="1"/>
    <col min="10755" max="10755" width="9.109375" style="87"/>
    <col min="10756" max="10756" width="30.88671875" style="87" customWidth="1"/>
    <col min="10757" max="10768" width="12.6640625" style="87" customWidth="1"/>
    <col min="10769" max="11008" width="9.109375" style="87"/>
    <col min="11009" max="11009" width="4" style="87" customWidth="1"/>
    <col min="11010" max="11010" width="3" style="87" customWidth="1"/>
    <col min="11011" max="11011" width="9.109375" style="87"/>
    <col min="11012" max="11012" width="30.88671875" style="87" customWidth="1"/>
    <col min="11013" max="11024" width="12.6640625" style="87" customWidth="1"/>
    <col min="11025" max="11264" width="9.109375" style="87"/>
    <col min="11265" max="11265" width="4" style="87" customWidth="1"/>
    <col min="11266" max="11266" width="3" style="87" customWidth="1"/>
    <col min="11267" max="11267" width="9.109375" style="87"/>
    <col min="11268" max="11268" width="30.88671875" style="87" customWidth="1"/>
    <col min="11269" max="11280" width="12.6640625" style="87" customWidth="1"/>
    <col min="11281" max="11520" width="9.109375" style="87"/>
    <col min="11521" max="11521" width="4" style="87" customWidth="1"/>
    <col min="11522" max="11522" width="3" style="87" customWidth="1"/>
    <col min="11523" max="11523" width="9.109375" style="87"/>
    <col min="11524" max="11524" width="30.88671875" style="87" customWidth="1"/>
    <col min="11525" max="11536" width="12.6640625" style="87" customWidth="1"/>
    <col min="11537" max="11776" width="9.109375" style="87"/>
    <col min="11777" max="11777" width="4" style="87" customWidth="1"/>
    <col min="11778" max="11778" width="3" style="87" customWidth="1"/>
    <col min="11779" max="11779" width="9.109375" style="87"/>
    <col min="11780" max="11780" width="30.88671875" style="87" customWidth="1"/>
    <col min="11781" max="11792" width="12.6640625" style="87" customWidth="1"/>
    <col min="11793" max="12032" width="9.109375" style="87"/>
    <col min="12033" max="12033" width="4" style="87" customWidth="1"/>
    <col min="12034" max="12034" width="3" style="87" customWidth="1"/>
    <col min="12035" max="12035" width="9.109375" style="87"/>
    <col min="12036" max="12036" width="30.88671875" style="87" customWidth="1"/>
    <col min="12037" max="12048" width="12.6640625" style="87" customWidth="1"/>
    <col min="12049" max="12288" width="9.109375" style="87"/>
    <col min="12289" max="12289" width="4" style="87" customWidth="1"/>
    <col min="12290" max="12290" width="3" style="87" customWidth="1"/>
    <col min="12291" max="12291" width="9.109375" style="87"/>
    <col min="12292" max="12292" width="30.88671875" style="87" customWidth="1"/>
    <col min="12293" max="12304" width="12.6640625" style="87" customWidth="1"/>
    <col min="12305" max="12544" width="9.109375" style="87"/>
    <col min="12545" max="12545" width="4" style="87" customWidth="1"/>
    <col min="12546" max="12546" width="3" style="87" customWidth="1"/>
    <col min="12547" max="12547" width="9.109375" style="87"/>
    <col min="12548" max="12548" width="30.88671875" style="87" customWidth="1"/>
    <col min="12549" max="12560" width="12.6640625" style="87" customWidth="1"/>
    <col min="12561" max="12800" width="9.109375" style="87"/>
    <col min="12801" max="12801" width="4" style="87" customWidth="1"/>
    <col min="12802" max="12802" width="3" style="87" customWidth="1"/>
    <col min="12803" max="12803" width="9.109375" style="87"/>
    <col min="12804" max="12804" width="30.88671875" style="87" customWidth="1"/>
    <col min="12805" max="12816" width="12.6640625" style="87" customWidth="1"/>
    <col min="12817" max="13056" width="9.109375" style="87"/>
    <col min="13057" max="13057" width="4" style="87" customWidth="1"/>
    <col min="13058" max="13058" width="3" style="87" customWidth="1"/>
    <col min="13059" max="13059" width="9.109375" style="87"/>
    <col min="13060" max="13060" width="30.88671875" style="87" customWidth="1"/>
    <col min="13061" max="13072" width="12.6640625" style="87" customWidth="1"/>
    <col min="13073" max="13312" width="9.109375" style="87"/>
    <col min="13313" max="13313" width="4" style="87" customWidth="1"/>
    <col min="13314" max="13314" width="3" style="87" customWidth="1"/>
    <col min="13315" max="13315" width="9.109375" style="87"/>
    <col min="13316" max="13316" width="30.88671875" style="87" customWidth="1"/>
    <col min="13317" max="13328" width="12.6640625" style="87" customWidth="1"/>
    <col min="13329" max="13568" width="9.109375" style="87"/>
    <col min="13569" max="13569" width="4" style="87" customWidth="1"/>
    <col min="13570" max="13570" width="3" style="87" customWidth="1"/>
    <col min="13571" max="13571" width="9.109375" style="87"/>
    <col min="13572" max="13572" width="30.88671875" style="87" customWidth="1"/>
    <col min="13573" max="13584" width="12.6640625" style="87" customWidth="1"/>
    <col min="13585" max="13824" width="9.109375" style="87"/>
    <col min="13825" max="13825" width="4" style="87" customWidth="1"/>
    <col min="13826" max="13826" width="3" style="87" customWidth="1"/>
    <col min="13827" max="13827" width="9.109375" style="87"/>
    <col min="13828" max="13828" width="30.88671875" style="87" customWidth="1"/>
    <col min="13829" max="13840" width="12.6640625" style="87" customWidth="1"/>
    <col min="13841" max="14080" width="9.109375" style="87"/>
    <col min="14081" max="14081" width="4" style="87" customWidth="1"/>
    <col min="14082" max="14082" width="3" style="87" customWidth="1"/>
    <col min="14083" max="14083" width="9.109375" style="87"/>
    <col min="14084" max="14084" width="30.88671875" style="87" customWidth="1"/>
    <col min="14085" max="14096" width="12.6640625" style="87" customWidth="1"/>
    <col min="14097" max="14336" width="9.109375" style="87"/>
    <col min="14337" max="14337" width="4" style="87" customWidth="1"/>
    <col min="14338" max="14338" width="3" style="87" customWidth="1"/>
    <col min="14339" max="14339" width="9.109375" style="87"/>
    <col min="14340" max="14340" width="30.88671875" style="87" customWidth="1"/>
    <col min="14341" max="14352" width="12.6640625" style="87" customWidth="1"/>
    <col min="14353" max="14592" width="9.109375" style="87"/>
    <col min="14593" max="14593" width="4" style="87" customWidth="1"/>
    <col min="14594" max="14594" width="3" style="87" customWidth="1"/>
    <col min="14595" max="14595" width="9.109375" style="87"/>
    <col min="14596" max="14596" width="30.88671875" style="87" customWidth="1"/>
    <col min="14597" max="14608" width="12.6640625" style="87" customWidth="1"/>
    <col min="14609" max="14848" width="9.109375" style="87"/>
    <col min="14849" max="14849" width="4" style="87" customWidth="1"/>
    <col min="14850" max="14850" width="3" style="87" customWidth="1"/>
    <col min="14851" max="14851" width="9.109375" style="87"/>
    <col min="14852" max="14852" width="30.88671875" style="87" customWidth="1"/>
    <col min="14853" max="14864" width="12.6640625" style="87" customWidth="1"/>
    <col min="14865" max="15104" width="9.109375" style="87"/>
    <col min="15105" max="15105" width="4" style="87" customWidth="1"/>
    <col min="15106" max="15106" width="3" style="87" customWidth="1"/>
    <col min="15107" max="15107" width="9.109375" style="87"/>
    <col min="15108" max="15108" width="30.88671875" style="87" customWidth="1"/>
    <col min="15109" max="15120" width="12.6640625" style="87" customWidth="1"/>
    <col min="15121" max="15360" width="9.109375" style="87"/>
    <col min="15361" max="15361" width="4" style="87" customWidth="1"/>
    <col min="15362" max="15362" width="3" style="87" customWidth="1"/>
    <col min="15363" max="15363" width="9.109375" style="87"/>
    <col min="15364" max="15364" width="30.88671875" style="87" customWidth="1"/>
    <col min="15365" max="15376" width="12.6640625" style="87" customWidth="1"/>
    <col min="15377" max="15616" width="9.109375" style="87"/>
    <col min="15617" max="15617" width="4" style="87" customWidth="1"/>
    <col min="15618" max="15618" width="3" style="87" customWidth="1"/>
    <col min="15619" max="15619" width="9.109375" style="87"/>
    <col min="15620" max="15620" width="30.88671875" style="87" customWidth="1"/>
    <col min="15621" max="15632" width="12.6640625" style="87" customWidth="1"/>
    <col min="15633" max="15872" width="9.109375" style="87"/>
    <col min="15873" max="15873" width="4" style="87" customWidth="1"/>
    <col min="15874" max="15874" width="3" style="87" customWidth="1"/>
    <col min="15875" max="15875" width="9.109375" style="87"/>
    <col min="15876" max="15876" width="30.88671875" style="87" customWidth="1"/>
    <col min="15877" max="15888" width="12.6640625" style="87" customWidth="1"/>
    <col min="15889" max="16128" width="9.109375" style="87"/>
    <col min="16129" max="16129" width="4" style="87" customWidth="1"/>
    <col min="16130" max="16130" width="3" style="87" customWidth="1"/>
    <col min="16131" max="16131" width="9.109375" style="87"/>
    <col min="16132" max="16132" width="30.88671875" style="87" customWidth="1"/>
    <col min="16133" max="16144" width="12.6640625" style="87" customWidth="1"/>
    <col min="16145" max="16384" width="9.109375" style="87"/>
  </cols>
  <sheetData>
    <row r="1" spans="1:9" s="95" customFormat="1" ht="15" customHeight="1" x14ac:dyDescent="0.25"/>
    <row r="2" spans="1:9" s="95" customFormat="1" ht="15" customHeight="1" x14ac:dyDescent="0.25">
      <c r="A2" s="96" t="s">
        <v>911</v>
      </c>
      <c r="F2" s="474"/>
    </row>
    <row r="3" spans="1:9" s="95" customFormat="1" ht="15" customHeight="1" x14ac:dyDescent="0.25">
      <c r="A3" s="736"/>
      <c r="B3" s="737"/>
      <c r="C3" s="738"/>
    </row>
    <row r="4" spans="1:9" s="83" customFormat="1" ht="17.25" customHeight="1" x14ac:dyDescent="0.25">
      <c r="A4" s="739" t="s">
        <v>960</v>
      </c>
      <c r="B4" s="740"/>
      <c r="C4" s="740"/>
      <c r="D4" s="740"/>
      <c r="E4" s="740"/>
      <c r="F4" s="740"/>
      <c r="G4" s="740"/>
    </row>
    <row r="5" spans="1:9" s="83" customFormat="1" ht="17.25" customHeight="1" x14ac:dyDescent="0.3">
      <c r="B5" s="84"/>
      <c r="C5" s="84"/>
      <c r="D5" s="85"/>
      <c r="F5" s="86"/>
      <c r="H5" s="86"/>
    </row>
    <row r="6" spans="1:9" ht="48" x14ac:dyDescent="0.25">
      <c r="B6" s="744" t="s">
        <v>0</v>
      </c>
      <c r="C6" s="744"/>
      <c r="D6" s="744"/>
      <c r="E6" s="88" t="s">
        <v>913</v>
      </c>
      <c r="F6" s="88" t="s">
        <v>914</v>
      </c>
      <c r="G6" s="89" t="s">
        <v>915</v>
      </c>
      <c r="H6" s="88" t="s">
        <v>1197</v>
      </c>
      <c r="I6" s="89" t="s">
        <v>1196</v>
      </c>
    </row>
    <row r="7" spans="1:9" x14ac:dyDescent="0.25">
      <c r="B7" s="745"/>
      <c r="C7" s="746"/>
      <c r="D7" s="746"/>
      <c r="E7" s="90"/>
      <c r="F7" s="91"/>
      <c r="G7" s="90"/>
      <c r="H7" s="91"/>
      <c r="I7" s="90"/>
    </row>
    <row r="8" spans="1:9" x14ac:dyDescent="0.25">
      <c r="A8" s="747" t="s">
        <v>350</v>
      </c>
      <c r="B8" s="748"/>
      <c r="C8" s="748"/>
      <c r="D8" s="748"/>
      <c r="E8" s="92"/>
      <c r="F8" s="93"/>
      <c r="G8" s="92"/>
      <c r="H8" s="93"/>
      <c r="I8" s="402"/>
    </row>
    <row r="9" spans="1:9" x14ac:dyDescent="0.25">
      <c r="B9" s="741" t="s">
        <v>353</v>
      </c>
      <c r="C9" s="742"/>
      <c r="D9" s="743"/>
      <c r="E9" s="18">
        <f>Budget!F15</f>
        <v>2400000</v>
      </c>
      <c r="F9" s="19">
        <v>0.4</v>
      </c>
      <c r="G9" s="18">
        <f>F9*E9</f>
        <v>960000</v>
      </c>
      <c r="H9" s="19">
        <v>0.8</v>
      </c>
      <c r="I9" s="18">
        <f>H9*E9</f>
        <v>1920000</v>
      </c>
    </row>
    <row r="10" spans="1:9" x14ac:dyDescent="0.25">
      <c r="B10" s="741" t="s">
        <v>354</v>
      </c>
      <c r="C10" s="742"/>
      <c r="D10" s="743"/>
      <c r="E10" s="18">
        <f>Budget!F16</f>
        <v>480000</v>
      </c>
      <c r="F10" s="19">
        <v>0.4</v>
      </c>
      <c r="G10" s="18">
        <f t="shared" ref="G10:G22" si="0">F10*E10</f>
        <v>192000</v>
      </c>
      <c r="H10" s="19">
        <f>H9</f>
        <v>0.8</v>
      </c>
      <c r="I10" s="18">
        <f t="shared" ref="I10:I22" si="1">H10*E10</f>
        <v>384000</v>
      </c>
    </row>
    <row r="11" spans="1:9" x14ac:dyDescent="0.25">
      <c r="B11" s="741" t="s">
        <v>355</v>
      </c>
      <c r="C11" s="742"/>
      <c r="D11" s="743"/>
      <c r="E11" s="18">
        <f>Budget!F17</f>
        <v>24000</v>
      </c>
      <c r="F11" s="19">
        <v>0.4</v>
      </c>
      <c r="G11" s="18">
        <f t="shared" si="0"/>
        <v>9600</v>
      </c>
      <c r="H11" s="19">
        <f>H9</f>
        <v>0.8</v>
      </c>
      <c r="I11" s="18">
        <f t="shared" si="1"/>
        <v>19200</v>
      </c>
    </row>
    <row r="12" spans="1:9" x14ac:dyDescent="0.25">
      <c r="B12" s="741" t="s">
        <v>356</v>
      </c>
      <c r="C12" s="742"/>
      <c r="D12" s="743"/>
      <c r="E12" s="18">
        <f>Budget!F18</f>
        <v>0</v>
      </c>
      <c r="F12" s="19">
        <v>1</v>
      </c>
      <c r="G12" s="18">
        <f t="shared" si="0"/>
        <v>0</v>
      </c>
      <c r="H12" s="19">
        <v>1</v>
      </c>
      <c r="I12" s="18">
        <f t="shared" si="1"/>
        <v>0</v>
      </c>
    </row>
    <row r="13" spans="1:9" x14ac:dyDescent="0.25">
      <c r="B13" s="741" t="s">
        <v>357</v>
      </c>
      <c r="C13" s="742"/>
      <c r="D13" s="743"/>
      <c r="E13" s="18">
        <f>Budget!F19</f>
        <v>379900.86049609503</v>
      </c>
      <c r="F13" s="19">
        <v>0.4</v>
      </c>
      <c r="G13" s="18">
        <f t="shared" si="0"/>
        <v>151960.34419843802</v>
      </c>
      <c r="H13" s="19">
        <v>1</v>
      </c>
      <c r="I13" s="18">
        <f t="shared" si="1"/>
        <v>379900.86049609503</v>
      </c>
    </row>
    <row r="14" spans="1:9" x14ac:dyDescent="0.25">
      <c r="B14" s="741" t="s">
        <v>358</v>
      </c>
      <c r="C14" s="742"/>
      <c r="D14" s="743"/>
      <c r="E14" s="18">
        <f>Budget!F20</f>
        <v>0</v>
      </c>
      <c r="F14" s="19">
        <v>1</v>
      </c>
      <c r="G14" s="18">
        <f t="shared" si="0"/>
        <v>0</v>
      </c>
      <c r="H14" s="19">
        <v>1</v>
      </c>
      <c r="I14" s="18">
        <f t="shared" si="1"/>
        <v>0</v>
      </c>
    </row>
    <row r="15" spans="1:9" x14ac:dyDescent="0.25">
      <c r="B15" s="741" t="s">
        <v>359</v>
      </c>
      <c r="C15" s="742"/>
      <c r="D15" s="743"/>
      <c r="E15" s="18">
        <f>Budget!F21</f>
        <v>0</v>
      </c>
      <c r="F15" s="19">
        <v>1</v>
      </c>
      <c r="G15" s="18">
        <f t="shared" si="0"/>
        <v>0</v>
      </c>
      <c r="H15" s="19">
        <v>1</v>
      </c>
      <c r="I15" s="18">
        <f t="shared" si="1"/>
        <v>0</v>
      </c>
    </row>
    <row r="16" spans="1:9" x14ac:dyDescent="0.25">
      <c r="B16" s="741" t="s">
        <v>360</v>
      </c>
      <c r="C16" s="742"/>
      <c r="D16" s="743"/>
      <c r="E16" s="18">
        <f>Budget!F22</f>
        <v>0</v>
      </c>
      <c r="F16" s="19">
        <v>1</v>
      </c>
      <c r="G16" s="18">
        <f t="shared" si="0"/>
        <v>0</v>
      </c>
      <c r="H16" s="19">
        <v>1</v>
      </c>
      <c r="I16" s="18">
        <f t="shared" si="1"/>
        <v>0</v>
      </c>
    </row>
    <row r="17" spans="1:9" x14ac:dyDescent="0.25">
      <c r="B17" s="741" t="s">
        <v>361</v>
      </c>
      <c r="C17" s="742"/>
      <c r="D17" s="743"/>
      <c r="E17" s="18">
        <f>Budget!F23</f>
        <v>595477.27272727271</v>
      </c>
      <c r="F17" s="19">
        <v>1</v>
      </c>
      <c r="G17" s="18">
        <f t="shared" si="0"/>
        <v>595477.27272727271</v>
      </c>
      <c r="H17" s="19">
        <v>1</v>
      </c>
      <c r="I17" s="18">
        <f t="shared" si="1"/>
        <v>595477.27272727271</v>
      </c>
    </row>
    <row r="18" spans="1:9" x14ac:dyDescent="0.25">
      <c r="B18" s="741" t="s">
        <v>362</v>
      </c>
      <c r="C18" s="742"/>
      <c r="D18" s="743"/>
      <c r="E18" s="18">
        <f>Budget!F24</f>
        <v>0</v>
      </c>
      <c r="F18" s="19">
        <v>1</v>
      </c>
      <c r="G18" s="18">
        <f t="shared" si="0"/>
        <v>0</v>
      </c>
      <c r="H18" s="19">
        <v>1</v>
      </c>
      <c r="I18" s="18">
        <f t="shared" si="1"/>
        <v>0</v>
      </c>
    </row>
    <row r="19" spans="1:9" x14ac:dyDescent="0.25">
      <c r="B19" s="741" t="s">
        <v>363</v>
      </c>
      <c r="C19" s="742"/>
      <c r="D19" s="743"/>
      <c r="E19" s="18">
        <f>Budget!F25</f>
        <v>0</v>
      </c>
      <c r="F19" s="19">
        <v>1</v>
      </c>
      <c r="G19" s="18">
        <f t="shared" si="0"/>
        <v>0</v>
      </c>
      <c r="H19" s="19">
        <v>1</v>
      </c>
      <c r="I19" s="18">
        <f t="shared" si="1"/>
        <v>0</v>
      </c>
    </row>
    <row r="20" spans="1:9" x14ac:dyDescent="0.25">
      <c r="B20" s="750" t="s">
        <v>364</v>
      </c>
      <c r="C20" s="742"/>
      <c r="D20" s="743"/>
      <c r="E20" s="18"/>
      <c r="F20" s="19"/>
      <c r="G20" s="18">
        <f t="shared" si="0"/>
        <v>0</v>
      </c>
      <c r="H20" s="19"/>
      <c r="I20" s="18">
        <f t="shared" si="1"/>
        <v>0</v>
      </c>
    </row>
    <row r="21" spans="1:9" x14ac:dyDescent="0.25">
      <c r="B21" s="80"/>
      <c r="C21" s="741" t="str">
        <f>IF(Budget!C27="","",Budget!C27)</f>
        <v xml:space="preserve">Environmental Impact Report (EIR) </v>
      </c>
      <c r="D21" s="751"/>
      <c r="E21" s="18">
        <f>Budget!F27</f>
        <v>40000</v>
      </c>
      <c r="F21" s="19">
        <v>1</v>
      </c>
      <c r="G21" s="18">
        <f t="shared" si="0"/>
        <v>40000</v>
      </c>
      <c r="H21" s="19">
        <f>H12</f>
        <v>1</v>
      </c>
      <c r="I21" s="18">
        <f t="shared" si="1"/>
        <v>40000</v>
      </c>
    </row>
    <row r="22" spans="1:9" ht="13.8" thickBot="1" x14ac:dyDescent="0.3">
      <c r="B22" s="26"/>
      <c r="C22" s="752" t="str">
        <f>IF(Budget!C28="","",Budget!C28)</f>
        <v/>
      </c>
      <c r="D22" s="753"/>
      <c r="E22" s="97">
        <f>Budget!F28</f>
        <v>0</v>
      </c>
      <c r="F22" s="19">
        <v>0.4</v>
      </c>
      <c r="G22" s="18">
        <f t="shared" si="0"/>
        <v>0</v>
      </c>
      <c r="H22" s="19">
        <f>H9</f>
        <v>0.8</v>
      </c>
      <c r="I22" s="18">
        <f t="shared" si="1"/>
        <v>0</v>
      </c>
    </row>
    <row r="23" spans="1:9" ht="15" customHeight="1" thickBot="1" x14ac:dyDescent="0.3">
      <c r="B23" s="754" t="s">
        <v>382</v>
      </c>
      <c r="C23" s="755"/>
      <c r="D23" s="756"/>
      <c r="E23" s="20"/>
      <c r="F23" s="21"/>
      <c r="G23" s="20">
        <f>SUM(G9:G22)</f>
        <v>1949037.6169257108</v>
      </c>
      <c r="H23" s="21"/>
      <c r="I23" s="20">
        <f>SUM(I9:I22)</f>
        <v>3338578.1332233679</v>
      </c>
    </row>
    <row r="24" spans="1:9" x14ac:dyDescent="0.25">
      <c r="B24" s="745"/>
      <c r="C24" s="746"/>
      <c r="D24" s="746"/>
      <c r="E24" s="90"/>
      <c r="F24" s="91"/>
      <c r="G24" s="90"/>
      <c r="H24" s="91"/>
      <c r="I24" s="90"/>
    </row>
    <row r="25" spans="1:9" x14ac:dyDescent="0.25">
      <c r="A25" s="747" t="s">
        <v>379</v>
      </c>
      <c r="B25" s="748"/>
      <c r="C25" s="748"/>
      <c r="D25" s="748"/>
      <c r="E25" s="92"/>
      <c r="F25" s="93"/>
      <c r="G25" s="92"/>
      <c r="H25" s="93"/>
      <c r="I25" s="402"/>
    </row>
    <row r="26" spans="1:9" x14ac:dyDescent="0.25">
      <c r="B26" s="757" t="s">
        <v>367</v>
      </c>
      <c r="C26" s="757"/>
      <c r="D26" s="757"/>
      <c r="E26" s="18">
        <f>Budget!F37</f>
        <v>267696</v>
      </c>
      <c r="F26" s="19">
        <v>0.4</v>
      </c>
      <c r="G26" s="18">
        <f t="shared" ref="G26:G43" si="2">F26*E26</f>
        <v>107078.40000000001</v>
      </c>
      <c r="H26" s="19">
        <v>0.55000000000000004</v>
      </c>
      <c r="I26" s="18">
        <f t="shared" ref="I26:I43" si="3">H26*E26</f>
        <v>147232.80000000002</v>
      </c>
    </row>
    <row r="27" spans="1:9" x14ac:dyDescent="0.25">
      <c r="B27" s="741" t="s">
        <v>378</v>
      </c>
      <c r="C27" s="749"/>
      <c r="D27" s="749"/>
      <c r="E27" s="18">
        <f>Budget!F38</f>
        <v>0</v>
      </c>
      <c r="F27" s="19">
        <v>0</v>
      </c>
      <c r="G27" s="18">
        <f t="shared" si="2"/>
        <v>0</v>
      </c>
      <c r="H27" s="19">
        <v>0</v>
      </c>
      <c r="I27" s="18">
        <f t="shared" si="3"/>
        <v>0</v>
      </c>
    </row>
    <row r="28" spans="1:9" x14ac:dyDescent="0.25">
      <c r="B28" s="81"/>
      <c r="C28" s="757" t="str">
        <f>IF(Budget!C39="","",Budget!C39)</f>
        <v/>
      </c>
      <c r="D28" s="757"/>
      <c r="E28" s="18">
        <f>Budget!F39</f>
        <v>0</v>
      </c>
      <c r="F28" s="19">
        <v>0</v>
      </c>
      <c r="G28" s="18">
        <f t="shared" si="2"/>
        <v>0</v>
      </c>
      <c r="H28" s="19">
        <v>0</v>
      </c>
      <c r="I28" s="18">
        <f t="shared" si="3"/>
        <v>0</v>
      </c>
    </row>
    <row r="29" spans="1:9" x14ac:dyDescent="0.25">
      <c r="B29" s="81"/>
      <c r="C29" s="757" t="str">
        <f>IF(Budget!C40="","",Budget!C40)</f>
        <v/>
      </c>
      <c r="D29" s="757"/>
      <c r="E29" s="18">
        <f>Budget!F40</f>
        <v>0</v>
      </c>
      <c r="F29" s="19">
        <v>0</v>
      </c>
      <c r="G29" s="18">
        <f t="shared" si="2"/>
        <v>0</v>
      </c>
      <c r="H29" s="19">
        <v>0</v>
      </c>
      <c r="I29" s="18">
        <f t="shared" si="3"/>
        <v>0</v>
      </c>
    </row>
    <row r="30" spans="1:9" x14ac:dyDescent="0.25">
      <c r="B30" s="757" t="s">
        <v>368</v>
      </c>
      <c r="C30" s="757"/>
      <c r="D30" s="757"/>
      <c r="E30" s="18">
        <f>Budget!F41</f>
        <v>1139702.581488285</v>
      </c>
      <c r="F30" s="19">
        <v>0.4</v>
      </c>
      <c r="G30" s="18">
        <f t="shared" si="2"/>
        <v>455881.03259531403</v>
      </c>
      <c r="H30" s="19">
        <f>H9</f>
        <v>0.8</v>
      </c>
      <c r="I30" s="18">
        <f t="shared" si="3"/>
        <v>911762.06519062805</v>
      </c>
    </row>
    <row r="31" spans="1:9" x14ac:dyDescent="0.25">
      <c r="B31" s="741" t="s">
        <v>9</v>
      </c>
      <c r="C31" s="749"/>
      <c r="D31" s="751"/>
      <c r="E31" s="18">
        <f>Budget!F42</f>
        <v>3000</v>
      </c>
      <c r="F31" s="19">
        <v>0.4</v>
      </c>
      <c r="G31" s="18">
        <f t="shared" si="2"/>
        <v>1200</v>
      </c>
      <c r="H31" s="19">
        <f>H12</f>
        <v>1</v>
      </c>
      <c r="I31" s="18">
        <f t="shared" si="3"/>
        <v>3000</v>
      </c>
    </row>
    <row r="32" spans="1:9" x14ac:dyDescent="0.25">
      <c r="B32" s="757" t="s">
        <v>369</v>
      </c>
      <c r="C32" s="757" t="s">
        <v>11</v>
      </c>
      <c r="D32" s="757"/>
      <c r="E32" s="18">
        <f>Budget!F43</f>
        <v>13.368360072191393</v>
      </c>
      <c r="F32" s="19">
        <v>0.4</v>
      </c>
      <c r="G32" s="18">
        <f t="shared" si="2"/>
        <v>5.3473440288765577</v>
      </c>
      <c r="H32" s="19">
        <f>H9</f>
        <v>0.8</v>
      </c>
      <c r="I32" s="18">
        <f t="shared" si="3"/>
        <v>10.694688057753115</v>
      </c>
    </row>
    <row r="33" spans="1:9" x14ac:dyDescent="0.25">
      <c r="B33" s="757" t="s">
        <v>370</v>
      </c>
      <c r="C33" s="757" t="s">
        <v>13</v>
      </c>
      <c r="D33" s="757"/>
      <c r="E33" s="18">
        <f>Budget!F44</f>
        <v>3790.6749609248109</v>
      </c>
      <c r="F33" s="19">
        <v>0</v>
      </c>
      <c r="G33" s="18">
        <f t="shared" si="2"/>
        <v>0</v>
      </c>
      <c r="H33" s="19">
        <v>0</v>
      </c>
      <c r="I33" s="18">
        <f t="shared" si="3"/>
        <v>0</v>
      </c>
    </row>
    <row r="34" spans="1:9" x14ac:dyDescent="0.25">
      <c r="B34" s="757" t="s">
        <v>371</v>
      </c>
      <c r="C34" s="757"/>
      <c r="D34" s="757"/>
      <c r="E34" s="18">
        <f>Budget!F45</f>
        <v>328032.53996873985</v>
      </c>
      <c r="F34" s="19">
        <v>0</v>
      </c>
      <c r="G34" s="18">
        <f t="shared" si="2"/>
        <v>0</v>
      </c>
      <c r="H34" s="19">
        <v>0</v>
      </c>
      <c r="I34" s="18">
        <f t="shared" si="3"/>
        <v>0</v>
      </c>
    </row>
    <row r="35" spans="1:9" x14ac:dyDescent="0.25">
      <c r="B35" s="757" t="s">
        <v>10</v>
      </c>
      <c r="C35" s="757"/>
      <c r="D35" s="757"/>
      <c r="E35" s="18">
        <f>Budget!F46</f>
        <v>13.368360072191393</v>
      </c>
      <c r="F35" s="19">
        <v>0</v>
      </c>
      <c r="G35" s="18">
        <f t="shared" si="2"/>
        <v>0</v>
      </c>
      <c r="H35" s="19">
        <v>0</v>
      </c>
      <c r="I35" s="18">
        <f t="shared" si="3"/>
        <v>0</v>
      </c>
    </row>
    <row r="36" spans="1:9" x14ac:dyDescent="0.25">
      <c r="B36" s="757" t="s">
        <v>372</v>
      </c>
      <c r="C36" s="757" t="s">
        <v>7</v>
      </c>
      <c r="D36" s="757"/>
      <c r="E36" s="18">
        <f>Budget!F47</f>
        <v>0</v>
      </c>
      <c r="F36" s="19">
        <v>0</v>
      </c>
      <c r="G36" s="18">
        <f t="shared" si="2"/>
        <v>0</v>
      </c>
      <c r="H36" s="19">
        <v>0</v>
      </c>
      <c r="I36" s="18">
        <f t="shared" si="3"/>
        <v>0</v>
      </c>
    </row>
    <row r="37" spans="1:9" x14ac:dyDescent="0.25">
      <c r="B37" s="757" t="s">
        <v>373</v>
      </c>
      <c r="C37" s="757" t="s">
        <v>8</v>
      </c>
      <c r="D37" s="757"/>
      <c r="E37" s="18">
        <f>Budget!F48</f>
        <v>3790.6749609248109</v>
      </c>
      <c r="F37" s="19">
        <v>0</v>
      </c>
      <c r="G37" s="18">
        <f t="shared" si="2"/>
        <v>0</v>
      </c>
      <c r="H37" s="19">
        <v>0</v>
      </c>
      <c r="I37" s="18">
        <f t="shared" si="3"/>
        <v>0</v>
      </c>
    </row>
    <row r="38" spans="1:9" x14ac:dyDescent="0.25">
      <c r="B38" s="757" t="s">
        <v>374</v>
      </c>
      <c r="C38" s="757"/>
      <c r="D38" s="757"/>
      <c r="E38" s="18">
        <f>Budget!F49</f>
        <v>75000</v>
      </c>
      <c r="F38" s="19">
        <v>0</v>
      </c>
      <c r="G38" s="18">
        <f t="shared" si="2"/>
        <v>0</v>
      </c>
      <c r="H38" s="19">
        <v>0</v>
      </c>
      <c r="I38" s="18">
        <f t="shared" si="3"/>
        <v>0</v>
      </c>
    </row>
    <row r="39" spans="1:9" x14ac:dyDescent="0.25">
      <c r="B39" s="757" t="s">
        <v>375</v>
      </c>
      <c r="C39" s="757"/>
      <c r="D39" s="757"/>
      <c r="E39" s="18">
        <f>Budget!F50</f>
        <v>200000</v>
      </c>
      <c r="F39" s="19">
        <v>0</v>
      </c>
      <c r="G39" s="18">
        <f t="shared" si="2"/>
        <v>0</v>
      </c>
      <c r="H39" s="19">
        <v>0</v>
      </c>
      <c r="I39" s="18">
        <f t="shared" si="3"/>
        <v>0</v>
      </c>
    </row>
    <row r="40" spans="1:9" x14ac:dyDescent="0.25">
      <c r="B40" s="757" t="s">
        <v>376</v>
      </c>
      <c r="C40" s="757"/>
      <c r="D40" s="757"/>
      <c r="E40" s="18">
        <f>Budget!F51</f>
        <v>1137.2024882774431</v>
      </c>
      <c r="F40" s="19">
        <v>0.4</v>
      </c>
      <c r="G40" s="18">
        <f t="shared" si="2"/>
        <v>454.88099531097726</v>
      </c>
      <c r="H40" s="19">
        <v>0.5</v>
      </c>
      <c r="I40" s="18">
        <f t="shared" si="3"/>
        <v>568.60124413872154</v>
      </c>
    </row>
    <row r="41" spans="1:9" x14ac:dyDescent="0.25">
      <c r="B41" s="757" t="s">
        <v>377</v>
      </c>
      <c r="C41" s="757"/>
      <c r="D41" s="757"/>
      <c r="E41" s="18">
        <f>Budget!F52</f>
        <v>0</v>
      </c>
      <c r="F41" s="19"/>
      <c r="G41" s="18">
        <f t="shared" si="2"/>
        <v>0</v>
      </c>
      <c r="H41" s="19"/>
      <c r="I41" s="18">
        <f t="shared" si="3"/>
        <v>0</v>
      </c>
    </row>
    <row r="42" spans="1:9" x14ac:dyDescent="0.25">
      <c r="B42" s="81"/>
      <c r="C42" s="757" t="str">
        <f>IF(Budget!C53="","",Budget!C53)</f>
        <v>Miscellaneous site acquisition soft costs</v>
      </c>
      <c r="D42" s="757"/>
      <c r="E42" s="18">
        <f>Budget!F53</f>
        <v>12250</v>
      </c>
      <c r="F42" s="19">
        <v>0</v>
      </c>
      <c r="G42" s="18">
        <f t="shared" si="2"/>
        <v>0</v>
      </c>
      <c r="H42" s="19">
        <v>0</v>
      </c>
      <c r="I42" s="18">
        <f t="shared" si="3"/>
        <v>0</v>
      </c>
    </row>
    <row r="43" spans="1:9" ht="13.8" thickBot="1" x14ac:dyDescent="0.3">
      <c r="B43" s="81"/>
      <c r="C43" s="757" t="str">
        <f>IF(Budget!C54="","",Budget!C54)</f>
        <v/>
      </c>
      <c r="D43" s="757"/>
      <c r="E43" s="97">
        <f>Budget!F54</f>
        <v>0</v>
      </c>
      <c r="F43" s="19">
        <v>0</v>
      </c>
      <c r="G43" s="18">
        <f t="shared" si="2"/>
        <v>0</v>
      </c>
      <c r="H43" s="19">
        <v>0</v>
      </c>
      <c r="I43" s="18">
        <f t="shared" si="3"/>
        <v>0</v>
      </c>
    </row>
    <row r="44" spans="1:9" ht="15" customHeight="1" thickBot="1" x14ac:dyDescent="0.3">
      <c r="B44" s="754" t="s">
        <v>385</v>
      </c>
      <c r="C44" s="755"/>
      <c r="D44" s="756"/>
      <c r="E44" s="20"/>
      <c r="F44" s="21"/>
      <c r="G44" s="20">
        <f>SUM(G26:G43)</f>
        <v>564619.66093465383</v>
      </c>
      <c r="H44" s="21"/>
      <c r="I44" s="20">
        <f>SUM(I26:I43)</f>
        <v>1062574.1611228245</v>
      </c>
    </row>
    <row r="45" spans="1:9" x14ac:dyDescent="0.25">
      <c r="B45" s="747"/>
      <c r="C45" s="761"/>
      <c r="D45" s="761"/>
      <c r="E45" s="90"/>
      <c r="F45" s="91"/>
      <c r="G45" s="90"/>
      <c r="H45" s="91"/>
      <c r="I45" s="90"/>
    </row>
    <row r="47" spans="1:9" ht="13.8" thickBot="1" x14ac:dyDescent="0.3">
      <c r="A47" s="747" t="s">
        <v>712</v>
      </c>
      <c r="B47" s="748"/>
      <c r="C47" s="748"/>
      <c r="D47" s="748"/>
    </row>
    <row r="48" spans="1:9" ht="13.8" thickBot="1" x14ac:dyDescent="0.3">
      <c r="B48" s="754" t="s">
        <v>715</v>
      </c>
      <c r="C48" s="758"/>
      <c r="D48" s="758"/>
      <c r="E48" s="759"/>
      <c r="F48" s="760"/>
      <c r="G48" s="20">
        <f>G44+G23</f>
        <v>2513657.2778603649</v>
      </c>
      <c r="H48" s="413"/>
      <c r="I48" s="20">
        <f>I44+I23</f>
        <v>4401152.2943461929</v>
      </c>
    </row>
  </sheetData>
  <sheetProtection algorithmName="SHA-512" hashValue="6PQiNORoPis6UrW4FBGt8aJEBqDl2RoSGTE47nC6cE6ZAcbJ1n0RUAvIoldUqHhYEyu1wMiThdb45FAb5+VM6g==" saltValue="/IeEYs7zIivr0H2UHL+SMA==" spinCount="100000" sheet="1" selectLockedCells="1"/>
  <mergeCells count="44">
    <mergeCell ref="A47:D47"/>
    <mergeCell ref="B48:F48"/>
    <mergeCell ref="B40:D40"/>
    <mergeCell ref="B41:D41"/>
    <mergeCell ref="C42:D42"/>
    <mergeCell ref="C43:D43"/>
    <mergeCell ref="B44:D44"/>
    <mergeCell ref="B45:D45"/>
    <mergeCell ref="B39:D39"/>
    <mergeCell ref="C28:D28"/>
    <mergeCell ref="C29:D29"/>
    <mergeCell ref="B30:D30"/>
    <mergeCell ref="B31:D31"/>
    <mergeCell ref="B32:D32"/>
    <mergeCell ref="B33:D33"/>
    <mergeCell ref="B34:D34"/>
    <mergeCell ref="B35:D35"/>
    <mergeCell ref="B36:D36"/>
    <mergeCell ref="B37:D37"/>
    <mergeCell ref="B38:D38"/>
    <mergeCell ref="B27:D27"/>
    <mergeCell ref="B16:D16"/>
    <mergeCell ref="B17:D17"/>
    <mergeCell ref="B18:D18"/>
    <mergeCell ref="B19:D19"/>
    <mergeCell ref="B20:D20"/>
    <mergeCell ref="C21:D21"/>
    <mergeCell ref="C22:D22"/>
    <mergeCell ref="B23:D23"/>
    <mergeCell ref="B24:D24"/>
    <mergeCell ref="A25:D25"/>
    <mergeCell ref="B26:D26"/>
    <mergeCell ref="A3:C3"/>
    <mergeCell ref="A4:G4"/>
    <mergeCell ref="B15:D15"/>
    <mergeCell ref="B6:D6"/>
    <mergeCell ref="B7:D7"/>
    <mergeCell ref="A8:D8"/>
    <mergeCell ref="B9:D9"/>
    <mergeCell ref="B10:D10"/>
    <mergeCell ref="B11:D11"/>
    <mergeCell ref="B12:D12"/>
    <mergeCell ref="B13:D13"/>
    <mergeCell ref="B14:D14"/>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4"/>
  <sheetViews>
    <sheetView showGridLines="0" zoomScaleNormal="100" zoomScaleSheetLayoutView="100" workbookViewId="0">
      <selection activeCell="M14" sqref="M14"/>
    </sheetView>
  </sheetViews>
  <sheetFormatPr defaultRowHeight="13.2" x14ac:dyDescent="0.25"/>
  <cols>
    <col min="2" max="2" width="15" customWidth="1"/>
    <col min="5" max="5" width="25" style="505" customWidth="1"/>
    <col min="6" max="6" width="15.21875" style="506" customWidth="1"/>
    <col min="7" max="7" width="8.77734375" style="506" customWidth="1"/>
    <col min="8" max="8" width="15.21875" style="539" customWidth="1"/>
    <col min="9" max="9" width="15.21875" customWidth="1"/>
    <col min="10" max="10" width="8.77734375" customWidth="1"/>
    <col min="11" max="11" width="8.77734375" style="6" customWidth="1"/>
    <col min="12" max="15" width="15.21875" customWidth="1"/>
  </cols>
  <sheetData>
    <row r="3" spans="1:13" s="508" customFormat="1" ht="36" customHeight="1" x14ac:dyDescent="0.25">
      <c r="B3" s="507" t="s">
        <v>1237</v>
      </c>
      <c r="C3" s="507"/>
      <c r="D3" s="507"/>
      <c r="F3" s="507"/>
      <c r="G3" s="507"/>
      <c r="H3" s="529"/>
      <c r="I3" s="559">
        <f ca="1">NOW()</f>
        <v>44777.651731481485</v>
      </c>
      <c r="K3" s="616"/>
    </row>
    <row r="4" spans="1:13" s="501" customFormat="1" x14ac:dyDescent="0.25">
      <c r="C4" s="579"/>
      <c r="D4" s="579"/>
      <c r="E4" s="514"/>
      <c r="F4" s="515"/>
      <c r="G4" s="515"/>
      <c r="H4" s="530"/>
      <c r="K4" s="24"/>
    </row>
    <row r="5" spans="1:13" s="501" customFormat="1" x14ac:dyDescent="0.25">
      <c r="C5" s="579"/>
      <c r="D5" s="579"/>
      <c r="E5" s="514" t="s">
        <v>1238</v>
      </c>
      <c r="F5" s="515" t="str">
        <f>Overview!C8</f>
        <v>Average Agency</v>
      </c>
      <c r="G5" s="515"/>
      <c r="H5" s="530"/>
      <c r="K5" s="24"/>
    </row>
    <row r="6" spans="1:13" s="501" customFormat="1" ht="33.6" customHeight="1" x14ac:dyDescent="0.25">
      <c r="C6" s="579"/>
      <c r="D6" s="579"/>
      <c r="E6" s="514" t="s">
        <v>1239</v>
      </c>
      <c r="F6" s="631" t="str">
        <f>Overview!C7</f>
        <v>XYZ Hall</v>
      </c>
      <c r="G6" s="631"/>
      <c r="H6" s="632"/>
      <c r="I6" s="632"/>
      <c r="K6" s="24"/>
    </row>
    <row r="7" spans="1:13" s="501" customFormat="1" x14ac:dyDescent="0.25">
      <c r="C7" s="579"/>
      <c r="D7" s="579"/>
      <c r="E7" s="514"/>
      <c r="F7" s="515"/>
      <c r="G7" s="515"/>
      <c r="H7" s="530"/>
      <c r="K7" s="24"/>
    </row>
    <row r="8" spans="1:13" s="501" customFormat="1" x14ac:dyDescent="0.25">
      <c r="C8" s="579"/>
      <c r="D8" s="579"/>
      <c r="E8" s="514" t="s">
        <v>1240</v>
      </c>
      <c r="F8" s="516">
        <f>Overview!C38</f>
        <v>198492.42424242425</v>
      </c>
      <c r="G8" s="516"/>
      <c r="H8" s="531"/>
      <c r="K8" s="24"/>
    </row>
    <row r="9" spans="1:13" ht="27" customHeight="1" x14ac:dyDescent="0.25">
      <c r="I9" s="635" t="str">
        <f>Overview!D21</f>
        <v>Capital Budget Request Amounts</v>
      </c>
      <c r="J9" s="636"/>
      <c r="K9" s="617"/>
    </row>
    <row r="10" spans="1:13" s="509" customFormat="1" ht="39.6" x14ac:dyDescent="0.25">
      <c r="F10" s="510" t="s">
        <v>1243</v>
      </c>
      <c r="G10" s="510"/>
      <c r="H10" s="532" t="s">
        <v>1242</v>
      </c>
      <c r="I10" s="518" t="s">
        <v>1248</v>
      </c>
      <c r="J10" s="519"/>
      <c r="K10" s="618"/>
    </row>
    <row r="11" spans="1:13" s="499" customFormat="1" ht="22.05" customHeight="1" x14ac:dyDescent="0.25">
      <c r="C11" s="577"/>
      <c r="D11" s="577"/>
      <c r="E11" s="511"/>
      <c r="F11" s="541">
        <f>Overview!C53</f>
        <v>44835</v>
      </c>
      <c r="G11" s="513"/>
      <c r="H11" s="533"/>
      <c r="I11" s="540">
        <f>Overview!C45</f>
        <v>45931</v>
      </c>
      <c r="J11" s="521"/>
      <c r="K11" s="16"/>
    </row>
    <row r="12" spans="1:13" s="503" customFormat="1" ht="22.05" customHeight="1" x14ac:dyDescent="0.25">
      <c r="C12" s="577"/>
      <c r="D12" s="577"/>
      <c r="E12" s="511"/>
      <c r="F12" s="513"/>
      <c r="G12" s="513"/>
      <c r="H12" s="533"/>
      <c r="I12" s="520"/>
      <c r="J12" s="521"/>
      <c r="K12" s="16"/>
    </row>
    <row r="13" spans="1:13" s="499" customFormat="1" ht="22.05" customHeight="1" x14ac:dyDescent="0.25">
      <c r="C13" s="577"/>
      <c r="D13" s="578" t="s">
        <v>1241</v>
      </c>
      <c r="F13" s="517">
        <f>Overview!C33</f>
        <v>2513657.2778603649</v>
      </c>
      <c r="G13" s="517"/>
      <c r="H13" s="534">
        <f>I13-F13</f>
        <v>388632.43644678732</v>
      </c>
      <c r="I13" s="522">
        <f>Overview!D33</f>
        <v>2902289.7143071522</v>
      </c>
      <c r="J13" s="521"/>
      <c r="K13" s="16"/>
    </row>
    <row r="14" spans="1:13" s="499" customFormat="1" ht="22.05" customHeight="1" x14ac:dyDescent="0.25">
      <c r="A14" s="16"/>
      <c r="B14" s="16"/>
      <c r="C14" s="16"/>
      <c r="D14" s="611" t="s">
        <v>1247</v>
      </c>
      <c r="F14" s="534">
        <f>Blender!F16</f>
        <v>40752417.16702386</v>
      </c>
      <c r="G14" s="534">
        <f>F14/F8</f>
        <v>205.30968535732029</v>
      </c>
      <c r="H14" s="534"/>
      <c r="I14" s="522"/>
      <c r="J14" s="522"/>
      <c r="K14" s="534"/>
      <c r="M14" s="542"/>
    </row>
    <row r="15" spans="1:13" s="503" customFormat="1" ht="22.05" customHeight="1" x14ac:dyDescent="0.25">
      <c r="A15" s="16"/>
      <c r="B15" s="16"/>
      <c r="C15" s="16"/>
      <c r="D15" s="611" t="str">
        <f>Blender!B18</f>
        <v>Prevailing Wage Premium Allowance</v>
      </c>
      <c r="F15" s="536">
        <f>Blender!F18</f>
        <v>2037620.8583511931</v>
      </c>
      <c r="G15" s="546">
        <f>F15/F14</f>
        <v>0.05</v>
      </c>
      <c r="H15" s="534"/>
      <c r="I15" s="522"/>
      <c r="J15" s="522"/>
      <c r="K15" s="534"/>
    </row>
    <row r="16" spans="1:13" s="503" customFormat="1" ht="22.05" customHeight="1" x14ac:dyDescent="0.25">
      <c r="A16" s="16"/>
      <c r="D16" s="611" t="s">
        <v>1328</v>
      </c>
      <c r="E16" s="614">
        <f>Escalation!F12</f>
        <v>44562</v>
      </c>
      <c r="F16" s="615" t="s">
        <v>1329</v>
      </c>
      <c r="G16" s="612">
        <f>Escalation!G12</f>
        <v>44926</v>
      </c>
      <c r="H16" s="534">
        <f>Escalation!J12-Escalation!E12</f>
        <v>5909014.7090008631</v>
      </c>
      <c r="I16" s="522"/>
      <c r="J16" s="613">
        <f>Escalation!I12</f>
        <v>0.156</v>
      </c>
      <c r="K16" s="619"/>
    </row>
    <row r="17" spans="1:13" s="577" customFormat="1" ht="22.05" customHeight="1" x14ac:dyDescent="0.25">
      <c r="A17" s="16"/>
      <c r="D17" s="611" t="s">
        <v>1328</v>
      </c>
      <c r="E17" s="614">
        <f>Escalation!F14</f>
        <v>44927</v>
      </c>
      <c r="F17" s="615" t="s">
        <v>1329</v>
      </c>
      <c r="G17" s="612">
        <f>Escalation!G14</f>
        <v>45291</v>
      </c>
      <c r="H17" s="534">
        <f>Escalation!J14-Escalation!E14</f>
        <v>4639904.7486557364</v>
      </c>
      <c r="I17" s="522"/>
      <c r="J17" s="613">
        <f>Escalation!I14</f>
        <v>0.10600000000000001</v>
      </c>
      <c r="K17" s="619"/>
    </row>
    <row r="18" spans="1:13" s="503" customFormat="1" ht="22.05" customHeight="1" x14ac:dyDescent="0.25">
      <c r="A18" s="16"/>
      <c r="D18" s="611" t="s">
        <v>1328</v>
      </c>
      <c r="E18" s="614">
        <f>Escalation!F16</f>
        <v>45292</v>
      </c>
      <c r="F18" s="615" t="s">
        <v>1329</v>
      </c>
      <c r="G18" s="612">
        <f>Escalation!G16</f>
        <v>46296</v>
      </c>
      <c r="H18" s="536">
        <f>Escalation!J16-Escalation!E16</f>
        <v>9329490.9594446421</v>
      </c>
      <c r="I18" s="522"/>
      <c r="J18" s="613">
        <f>Escalation!I16</f>
        <v>6.6000000000000003E-2</v>
      </c>
      <c r="K18" s="619"/>
    </row>
    <row r="19" spans="1:13" s="27" customFormat="1" ht="22.05" customHeight="1" x14ac:dyDescent="0.25">
      <c r="A19" s="547"/>
      <c r="B19" s="547"/>
      <c r="C19" s="547"/>
      <c r="D19" s="547"/>
      <c r="E19" s="548" t="s">
        <v>1246</v>
      </c>
      <c r="F19" s="537">
        <f>SUM(F14:F15)</f>
        <v>42790038.025375053</v>
      </c>
      <c r="G19" s="537">
        <f>F19/F8</f>
        <v>215.57516962518631</v>
      </c>
      <c r="H19" s="537">
        <f>I19-F19</f>
        <v>15078458.441335693</v>
      </c>
      <c r="I19" s="523">
        <f>Overview!D24</f>
        <v>57868496.466710746</v>
      </c>
      <c r="J19" s="523">
        <f>I19/F8</f>
        <v>291.54007608892096</v>
      </c>
      <c r="K19" s="537"/>
      <c r="L19" s="503"/>
      <c r="M19" s="503"/>
    </row>
    <row r="20" spans="1:13" s="499" customFormat="1" ht="22.05" customHeight="1" x14ac:dyDescent="0.25">
      <c r="A20" s="16"/>
      <c r="B20" s="16"/>
      <c r="C20" s="16"/>
      <c r="D20" s="16"/>
      <c r="E20" s="545" t="s">
        <v>1249</v>
      </c>
      <c r="F20" s="535">
        <f>Overview!C25+Overview!C26+Overview!C27+Overview!C29</f>
        <v>7121907.1634858288</v>
      </c>
      <c r="G20" s="546">
        <f>F20/(F14+F15)</f>
        <v>0.16643843969623126</v>
      </c>
      <c r="H20" s="535">
        <f t="shared" ref="H20:H23" si="0">I20-F20</f>
        <v>2197770.5747859869</v>
      </c>
      <c r="I20" s="526">
        <f>Overview!D25+Overview!D26+Overview!D27+Overview!D29</f>
        <v>9319677.7382718157</v>
      </c>
      <c r="J20" s="527">
        <f>I20/I19</f>
        <v>0.16104924626187628</v>
      </c>
      <c r="K20" s="546"/>
      <c r="L20" s="503"/>
      <c r="M20" s="503"/>
    </row>
    <row r="21" spans="1:13" s="499" customFormat="1" ht="22.05" customHeight="1" x14ac:dyDescent="0.25">
      <c r="A21" s="16"/>
      <c r="B21" s="16"/>
      <c r="C21" s="16"/>
      <c r="D21" s="16"/>
      <c r="E21" s="545" t="s">
        <v>1245</v>
      </c>
      <c r="F21" s="535">
        <f>Overview!C28</f>
        <v>311372.02488277445</v>
      </c>
      <c r="G21" s="535">
        <f>F21/F8</f>
        <v>1.5686846793834672</v>
      </c>
      <c r="H21" s="535">
        <f t="shared" si="0"/>
        <v>194229.89814301173</v>
      </c>
      <c r="I21" s="526">
        <f>Overview!D28</f>
        <v>505601.92302578618</v>
      </c>
      <c r="J21" s="526">
        <f>I21/F8</f>
        <v>2.5472101766880568</v>
      </c>
      <c r="K21" s="535"/>
    </row>
    <row r="22" spans="1:13" s="577" customFormat="1" ht="22.05" customHeight="1" x14ac:dyDescent="0.25">
      <c r="A22" s="16"/>
      <c r="B22" s="16"/>
      <c r="C22" s="16"/>
      <c r="E22" s="545" t="s">
        <v>1330</v>
      </c>
      <c r="F22" s="621"/>
      <c r="G22" s="621"/>
      <c r="H22" s="621"/>
      <c r="I22" s="622">
        <f>Overview!D23</f>
        <v>1000000</v>
      </c>
      <c r="J22" s="526"/>
      <c r="K22" s="535"/>
    </row>
    <row r="23" spans="1:13" s="27" customFormat="1" ht="22.05" customHeight="1" x14ac:dyDescent="0.25">
      <c r="A23" s="547"/>
      <c r="B23" s="547"/>
      <c r="C23" s="547"/>
      <c r="D23" s="547"/>
      <c r="E23" s="548" t="s">
        <v>1244</v>
      </c>
      <c r="F23" s="537">
        <f>Overview!C30</f>
        <v>46423365.237978108</v>
      </c>
      <c r="G23" s="537">
        <f>F23/F8</f>
        <v>233.87978364997937</v>
      </c>
      <c r="H23" s="537">
        <f t="shared" si="0"/>
        <v>22270410.890030243</v>
      </c>
      <c r="I23" s="523">
        <f>Overview!D30</f>
        <v>68693776.128008351</v>
      </c>
      <c r="J23" s="524">
        <f>I23/F8</f>
        <v>346.07757142464419</v>
      </c>
      <c r="K23" s="620"/>
    </row>
    <row r="24" spans="1:13" s="499" customFormat="1" ht="22.05" customHeight="1" x14ac:dyDescent="0.25">
      <c r="C24" s="577"/>
      <c r="D24" s="577"/>
      <c r="E24" s="511"/>
      <c r="F24" s="500"/>
      <c r="G24" s="500"/>
      <c r="H24" s="538"/>
      <c r="K24" s="16"/>
    </row>
    <row r="25" spans="1:13" s="499" customFormat="1" ht="38.4" customHeight="1" x14ac:dyDescent="0.25">
      <c r="B25" s="633" t="s">
        <v>1252</v>
      </c>
      <c r="C25" s="633"/>
      <c r="D25" s="633"/>
      <c r="E25" s="634"/>
      <c r="F25" s="634"/>
      <c r="G25" s="634"/>
      <c r="H25" s="634"/>
      <c r="I25" s="634"/>
      <c r="J25" s="634"/>
      <c r="K25" s="575"/>
    </row>
    <row r="26" spans="1:13" s="499" customFormat="1" ht="22.05" customHeight="1" x14ac:dyDescent="0.25">
      <c r="C26" s="577"/>
      <c r="D26" s="577"/>
      <c r="E26" s="512" t="s">
        <v>1251</v>
      </c>
      <c r="F26" s="500" t="str">
        <f>'Type 3 Comps'!E13</f>
        <v>New Parking Deck</v>
      </c>
      <c r="G26" s="500"/>
      <c r="H26" s="538"/>
      <c r="K26" s="16"/>
    </row>
    <row r="27" spans="1:13" s="499" customFormat="1" ht="22.05" customHeight="1" x14ac:dyDescent="0.25">
      <c r="C27" s="577"/>
      <c r="D27" s="577"/>
      <c r="E27" s="511"/>
      <c r="F27" s="528" t="str">
        <f>'Type 3 Comps'!E15</f>
        <v>Green Bay, WI</v>
      </c>
      <c r="G27" s="500"/>
      <c r="H27" s="538"/>
      <c r="K27" s="16"/>
    </row>
    <row r="28" spans="1:13" s="499" customFormat="1" ht="22.05" customHeight="1" x14ac:dyDescent="0.25">
      <c r="C28" s="577"/>
      <c r="D28" s="577"/>
      <c r="E28" s="511"/>
      <c r="F28" s="500"/>
      <c r="G28" s="500"/>
      <c r="H28" s="538"/>
      <c r="K28" s="16"/>
    </row>
    <row r="29" spans="1:13" s="503" customFormat="1" ht="38.4" customHeight="1" x14ac:dyDescent="0.25">
      <c r="B29" s="633" t="s">
        <v>1250</v>
      </c>
      <c r="C29" s="633"/>
      <c r="D29" s="633"/>
      <c r="E29" s="634"/>
      <c r="F29" s="634"/>
      <c r="G29" s="634"/>
      <c r="H29" s="634"/>
      <c r="I29" s="634"/>
      <c r="J29" s="634"/>
      <c r="K29" s="575"/>
    </row>
    <row r="30" spans="1:13" s="503" customFormat="1" ht="38.4" customHeight="1" x14ac:dyDescent="0.25">
      <c r="B30" s="544"/>
      <c r="C30" s="576"/>
      <c r="D30" s="576"/>
      <c r="E30" s="504"/>
      <c r="F30" s="504"/>
      <c r="G30" s="504"/>
      <c r="H30" s="504"/>
      <c r="I30" s="504"/>
      <c r="J30" s="504"/>
      <c r="K30" s="575"/>
    </row>
    <row r="31" spans="1:13" s="499" customFormat="1" ht="22.05" customHeight="1" x14ac:dyDescent="0.25">
      <c r="C31" s="577"/>
      <c r="D31" s="577"/>
      <c r="E31" s="511"/>
      <c r="F31" s="500"/>
      <c r="G31" s="500"/>
      <c r="H31" s="538"/>
      <c r="K31" s="16"/>
    </row>
    <row r="32" spans="1:13" s="499" customFormat="1" ht="22.05" customHeight="1" x14ac:dyDescent="0.25">
      <c r="C32" s="577"/>
      <c r="D32" s="577"/>
      <c r="E32" s="511"/>
      <c r="F32" s="500"/>
      <c r="G32" s="500"/>
      <c r="H32" s="538"/>
      <c r="K32" s="16"/>
    </row>
    <row r="33" spans="3:11" s="499" customFormat="1" ht="22.05" customHeight="1" x14ac:dyDescent="0.25">
      <c r="C33" s="577"/>
      <c r="D33" s="577"/>
      <c r="E33" s="511"/>
      <c r="F33" s="500"/>
      <c r="G33" s="500"/>
      <c r="H33" s="538"/>
      <c r="K33" s="16"/>
    </row>
    <row r="34" spans="3:11" s="499" customFormat="1" ht="22.05" customHeight="1" x14ac:dyDescent="0.25">
      <c r="C34" s="577"/>
      <c r="D34" s="577"/>
      <c r="E34" s="511"/>
      <c r="F34" s="500"/>
      <c r="G34" s="500"/>
      <c r="H34" s="538"/>
      <c r="K34" s="16"/>
    </row>
  </sheetData>
  <sheetProtection algorithmName="SHA-512" hashValue="WvJtEw30S+J9Ir2S8FxdZI8l3a8HevcrhetzFSw0zBNiyKzzkKnYZZv34ko9EqA/q3MxiWyUz0QTLJ6NOm89EQ==" saltValue="hY/RC1fvmTzEfHfWK8qnPg==" spinCount="100000" sheet="1" objects="1" scenarios="1"/>
  <mergeCells count="4">
    <mergeCell ref="F6:I6"/>
    <mergeCell ref="B25:J25"/>
    <mergeCell ref="B29:J29"/>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zoomScaleNormal="100" zoomScaleSheetLayoutView="100" workbookViewId="0">
      <pane ySplit="2" topLeftCell="A3" activePane="bottomLeft" state="frozen"/>
      <selection pane="bottomLeft" activeCell="D11" sqref="D11"/>
    </sheetView>
  </sheetViews>
  <sheetFormatPr defaultRowHeight="13.2" x14ac:dyDescent="0.25"/>
  <cols>
    <col min="1" max="1" width="3.77734375" style="258" customWidth="1"/>
    <col min="2" max="2" width="32.44140625" style="456" bestFit="1" customWidth="1"/>
    <col min="3" max="3" width="7" style="258" customWidth="1"/>
    <col min="4" max="4" width="43.88671875" style="453" customWidth="1"/>
    <col min="5" max="5" width="20" style="258" customWidth="1"/>
    <col min="6" max="6" width="16.33203125" style="258" customWidth="1"/>
    <col min="7" max="7" width="12.88671875" style="258" customWidth="1"/>
    <col min="8" max="8" width="11.88671875" style="462" customWidth="1"/>
    <col min="9" max="9" width="7.33203125" style="258" customWidth="1"/>
    <col min="10" max="10" width="17.44140625" style="462" customWidth="1"/>
    <col min="11" max="11" width="3.44140625" style="462" customWidth="1"/>
    <col min="12" max="12" width="35" style="258" bestFit="1" customWidth="1"/>
    <col min="13" max="13" width="9.88671875" style="258" customWidth="1"/>
    <col min="14" max="14" width="16" style="258" customWidth="1"/>
    <col min="15" max="259" width="8.88671875" style="258"/>
    <col min="260" max="260" width="13.109375" style="258" customWidth="1"/>
    <col min="261" max="261" width="21" style="258" customWidth="1"/>
    <col min="262" max="265" width="13.109375" style="258" customWidth="1"/>
    <col min="266" max="266" width="19.88671875" style="258" customWidth="1"/>
    <col min="267" max="515" width="8.88671875" style="258"/>
    <col min="516" max="516" width="13.109375" style="258" customWidth="1"/>
    <col min="517" max="517" width="21" style="258" customWidth="1"/>
    <col min="518" max="521" width="13.109375" style="258" customWidth="1"/>
    <col min="522" max="522" width="19.88671875" style="258" customWidth="1"/>
    <col min="523" max="771" width="8.88671875" style="258"/>
    <col min="772" max="772" width="13.109375" style="258" customWidth="1"/>
    <col min="773" max="773" width="21" style="258" customWidth="1"/>
    <col min="774" max="777" width="13.109375" style="258" customWidth="1"/>
    <col min="778" max="778" width="19.88671875" style="258" customWidth="1"/>
    <col min="779" max="1027" width="8.88671875" style="258"/>
    <col min="1028" max="1028" width="13.109375" style="258" customWidth="1"/>
    <col min="1029" max="1029" width="21" style="258" customWidth="1"/>
    <col min="1030" max="1033" width="13.109375" style="258" customWidth="1"/>
    <col min="1034" max="1034" width="19.88671875" style="258" customWidth="1"/>
    <col min="1035" max="1283" width="8.88671875" style="258"/>
    <col min="1284" max="1284" width="13.109375" style="258" customWidth="1"/>
    <col min="1285" max="1285" width="21" style="258" customWidth="1"/>
    <col min="1286" max="1289" width="13.109375" style="258" customWidth="1"/>
    <col min="1290" max="1290" width="19.88671875" style="258" customWidth="1"/>
    <col min="1291" max="1539" width="8.88671875" style="258"/>
    <col min="1540" max="1540" width="13.109375" style="258" customWidth="1"/>
    <col min="1541" max="1541" width="21" style="258" customWidth="1"/>
    <col min="1542" max="1545" width="13.109375" style="258" customWidth="1"/>
    <col min="1546" max="1546" width="19.88671875" style="258" customWidth="1"/>
    <col min="1547" max="1795" width="8.88671875" style="258"/>
    <col min="1796" max="1796" width="13.109375" style="258" customWidth="1"/>
    <col min="1797" max="1797" width="21" style="258" customWidth="1"/>
    <col min="1798" max="1801" width="13.109375" style="258" customWidth="1"/>
    <col min="1802" max="1802" width="19.88671875" style="258" customWidth="1"/>
    <col min="1803" max="2051" width="8.88671875" style="258"/>
    <col min="2052" max="2052" width="13.109375" style="258" customWidth="1"/>
    <col min="2053" max="2053" width="21" style="258" customWidth="1"/>
    <col min="2054" max="2057" width="13.109375" style="258" customWidth="1"/>
    <col min="2058" max="2058" width="19.88671875" style="258" customWidth="1"/>
    <col min="2059" max="2307" width="8.88671875" style="258"/>
    <col min="2308" max="2308" width="13.109375" style="258" customWidth="1"/>
    <col min="2309" max="2309" width="21" style="258" customWidth="1"/>
    <col min="2310" max="2313" width="13.109375" style="258" customWidth="1"/>
    <col min="2314" max="2314" width="19.88671875" style="258" customWidth="1"/>
    <col min="2315" max="2563" width="8.88671875" style="258"/>
    <col min="2564" max="2564" width="13.109375" style="258" customWidth="1"/>
    <col min="2565" max="2565" width="21" style="258" customWidth="1"/>
    <col min="2566" max="2569" width="13.109375" style="258" customWidth="1"/>
    <col min="2570" max="2570" width="19.88671875" style="258" customWidth="1"/>
    <col min="2571" max="2819" width="8.88671875" style="258"/>
    <col min="2820" max="2820" width="13.109375" style="258" customWidth="1"/>
    <col min="2821" max="2821" width="21" style="258" customWidth="1"/>
    <col min="2822" max="2825" width="13.109375" style="258" customWidth="1"/>
    <col min="2826" max="2826" width="19.88671875" style="258" customWidth="1"/>
    <col min="2827" max="3075" width="8.88671875" style="258"/>
    <col min="3076" max="3076" width="13.109375" style="258" customWidth="1"/>
    <col min="3077" max="3077" width="21" style="258" customWidth="1"/>
    <col min="3078" max="3081" width="13.109375" style="258" customWidth="1"/>
    <col min="3082" max="3082" width="19.88671875" style="258" customWidth="1"/>
    <col min="3083" max="3331" width="8.88671875" style="258"/>
    <col min="3332" max="3332" width="13.109375" style="258" customWidth="1"/>
    <col min="3333" max="3333" width="21" style="258" customWidth="1"/>
    <col min="3334" max="3337" width="13.109375" style="258" customWidth="1"/>
    <col min="3338" max="3338" width="19.88671875" style="258" customWidth="1"/>
    <col min="3339" max="3587" width="8.88671875" style="258"/>
    <col min="3588" max="3588" width="13.109375" style="258" customWidth="1"/>
    <col min="3589" max="3589" width="21" style="258" customWidth="1"/>
    <col min="3590" max="3593" width="13.109375" style="258" customWidth="1"/>
    <col min="3594" max="3594" width="19.88671875" style="258" customWidth="1"/>
    <col min="3595" max="3843" width="8.88671875" style="258"/>
    <col min="3844" max="3844" width="13.109375" style="258" customWidth="1"/>
    <col min="3845" max="3845" width="21" style="258" customWidth="1"/>
    <col min="3846" max="3849" width="13.109375" style="258" customWidth="1"/>
    <col min="3850" max="3850" width="19.88671875" style="258" customWidth="1"/>
    <col min="3851" max="4099" width="8.88671875" style="258"/>
    <col min="4100" max="4100" width="13.109375" style="258" customWidth="1"/>
    <col min="4101" max="4101" width="21" style="258" customWidth="1"/>
    <col min="4102" max="4105" width="13.109375" style="258" customWidth="1"/>
    <col min="4106" max="4106" width="19.88671875" style="258" customWidth="1"/>
    <col min="4107" max="4355" width="8.88671875" style="258"/>
    <col min="4356" max="4356" width="13.109375" style="258" customWidth="1"/>
    <col min="4357" max="4357" width="21" style="258" customWidth="1"/>
    <col min="4358" max="4361" width="13.109375" style="258" customWidth="1"/>
    <col min="4362" max="4362" width="19.88671875" style="258" customWidth="1"/>
    <col min="4363" max="4611" width="8.88671875" style="258"/>
    <col min="4612" max="4612" width="13.109375" style="258" customWidth="1"/>
    <col min="4613" max="4613" width="21" style="258" customWidth="1"/>
    <col min="4614" max="4617" width="13.109375" style="258" customWidth="1"/>
    <col min="4618" max="4618" width="19.88671875" style="258" customWidth="1"/>
    <col min="4619" max="4867" width="8.88671875" style="258"/>
    <col min="4868" max="4868" width="13.109375" style="258" customWidth="1"/>
    <col min="4869" max="4869" width="21" style="258" customWidth="1"/>
    <col min="4870" max="4873" width="13.109375" style="258" customWidth="1"/>
    <col min="4874" max="4874" width="19.88671875" style="258" customWidth="1"/>
    <col min="4875" max="5123" width="8.88671875" style="258"/>
    <col min="5124" max="5124" width="13.109375" style="258" customWidth="1"/>
    <col min="5125" max="5125" width="21" style="258" customWidth="1"/>
    <col min="5126" max="5129" width="13.109375" style="258" customWidth="1"/>
    <col min="5130" max="5130" width="19.88671875" style="258" customWidth="1"/>
    <col min="5131" max="5379" width="8.88671875" style="258"/>
    <col min="5380" max="5380" width="13.109375" style="258" customWidth="1"/>
    <col min="5381" max="5381" width="21" style="258" customWidth="1"/>
    <col min="5382" max="5385" width="13.109375" style="258" customWidth="1"/>
    <col min="5386" max="5386" width="19.88671875" style="258" customWidth="1"/>
    <col min="5387" max="5635" width="8.88671875" style="258"/>
    <col min="5636" max="5636" width="13.109375" style="258" customWidth="1"/>
    <col min="5637" max="5637" width="21" style="258" customWidth="1"/>
    <col min="5638" max="5641" width="13.109375" style="258" customWidth="1"/>
    <col min="5642" max="5642" width="19.88671875" style="258" customWidth="1"/>
    <col min="5643" max="5891" width="8.88671875" style="258"/>
    <col min="5892" max="5892" width="13.109375" style="258" customWidth="1"/>
    <col min="5893" max="5893" width="21" style="258" customWidth="1"/>
    <col min="5894" max="5897" width="13.109375" style="258" customWidth="1"/>
    <col min="5898" max="5898" width="19.88671875" style="258" customWidth="1"/>
    <col min="5899" max="6147" width="8.88671875" style="258"/>
    <col min="6148" max="6148" width="13.109375" style="258" customWidth="1"/>
    <col min="6149" max="6149" width="21" style="258" customWidth="1"/>
    <col min="6150" max="6153" width="13.109375" style="258" customWidth="1"/>
    <col min="6154" max="6154" width="19.88671875" style="258" customWidth="1"/>
    <col min="6155" max="6403" width="8.88671875" style="258"/>
    <col min="6404" max="6404" width="13.109375" style="258" customWidth="1"/>
    <col min="6405" max="6405" width="21" style="258" customWidth="1"/>
    <col min="6406" max="6409" width="13.109375" style="258" customWidth="1"/>
    <col min="6410" max="6410" width="19.88671875" style="258" customWidth="1"/>
    <col min="6411" max="6659" width="8.88671875" style="258"/>
    <col min="6660" max="6660" width="13.109375" style="258" customWidth="1"/>
    <col min="6661" max="6661" width="21" style="258" customWidth="1"/>
    <col min="6662" max="6665" width="13.109375" style="258" customWidth="1"/>
    <col min="6666" max="6666" width="19.88671875" style="258" customWidth="1"/>
    <col min="6667" max="6915" width="8.88671875" style="258"/>
    <col min="6916" max="6916" width="13.109375" style="258" customWidth="1"/>
    <col min="6917" max="6917" width="21" style="258" customWidth="1"/>
    <col min="6918" max="6921" width="13.109375" style="258" customWidth="1"/>
    <col min="6922" max="6922" width="19.88671875" style="258" customWidth="1"/>
    <col min="6923" max="7171" width="8.88671875" style="258"/>
    <col min="7172" max="7172" width="13.109375" style="258" customWidth="1"/>
    <col min="7173" max="7173" width="21" style="258" customWidth="1"/>
    <col min="7174" max="7177" width="13.109375" style="258" customWidth="1"/>
    <col min="7178" max="7178" width="19.88671875" style="258" customWidth="1"/>
    <col min="7179" max="7427" width="8.88671875" style="258"/>
    <col min="7428" max="7428" width="13.109375" style="258" customWidth="1"/>
    <col min="7429" max="7429" width="21" style="258" customWidth="1"/>
    <col min="7430" max="7433" width="13.109375" style="258" customWidth="1"/>
    <col min="7434" max="7434" width="19.88671875" style="258" customWidth="1"/>
    <col min="7435" max="7683" width="8.88671875" style="258"/>
    <col min="7684" max="7684" width="13.109375" style="258" customWidth="1"/>
    <col min="7685" max="7685" width="21" style="258" customWidth="1"/>
    <col min="7686" max="7689" width="13.109375" style="258" customWidth="1"/>
    <col min="7690" max="7690" width="19.88671875" style="258" customWidth="1"/>
    <col min="7691" max="7939" width="8.88671875" style="258"/>
    <col min="7940" max="7940" width="13.109375" style="258" customWidth="1"/>
    <col min="7941" max="7941" width="21" style="258" customWidth="1"/>
    <col min="7942" max="7945" width="13.109375" style="258" customWidth="1"/>
    <col min="7946" max="7946" width="19.88671875" style="258" customWidth="1"/>
    <col min="7947" max="8195" width="8.88671875" style="258"/>
    <col min="8196" max="8196" width="13.109375" style="258" customWidth="1"/>
    <col min="8197" max="8197" width="21" style="258" customWidth="1"/>
    <col min="8198" max="8201" width="13.109375" style="258" customWidth="1"/>
    <col min="8202" max="8202" width="19.88671875" style="258" customWidth="1"/>
    <col min="8203" max="8451" width="8.88671875" style="258"/>
    <col min="8452" max="8452" width="13.109375" style="258" customWidth="1"/>
    <col min="8453" max="8453" width="21" style="258" customWidth="1"/>
    <col min="8454" max="8457" width="13.109375" style="258" customWidth="1"/>
    <col min="8458" max="8458" width="19.88671875" style="258" customWidth="1"/>
    <col min="8459" max="8707" width="8.88671875" style="258"/>
    <col min="8708" max="8708" width="13.109375" style="258" customWidth="1"/>
    <col min="8709" max="8709" width="21" style="258" customWidth="1"/>
    <col min="8710" max="8713" width="13.109375" style="258" customWidth="1"/>
    <col min="8714" max="8714" width="19.88671875" style="258" customWidth="1"/>
    <col min="8715" max="8963" width="8.88671875" style="258"/>
    <col min="8964" max="8964" width="13.109375" style="258" customWidth="1"/>
    <col min="8965" max="8965" width="21" style="258" customWidth="1"/>
    <col min="8966" max="8969" width="13.109375" style="258" customWidth="1"/>
    <col min="8970" max="8970" width="19.88671875" style="258" customWidth="1"/>
    <col min="8971" max="9219" width="8.88671875" style="258"/>
    <col min="9220" max="9220" width="13.109375" style="258" customWidth="1"/>
    <col min="9221" max="9221" width="21" style="258" customWidth="1"/>
    <col min="9222" max="9225" width="13.109375" style="258" customWidth="1"/>
    <col min="9226" max="9226" width="19.88671875" style="258" customWidth="1"/>
    <col min="9227" max="9475" width="8.88671875" style="258"/>
    <col min="9476" max="9476" width="13.109375" style="258" customWidth="1"/>
    <col min="9477" max="9477" width="21" style="258" customWidth="1"/>
    <col min="9478" max="9481" width="13.109375" style="258" customWidth="1"/>
    <col min="9482" max="9482" width="19.88671875" style="258" customWidth="1"/>
    <col min="9483" max="9731" width="8.88671875" style="258"/>
    <col min="9732" max="9732" width="13.109375" style="258" customWidth="1"/>
    <col min="9733" max="9733" width="21" style="258" customWidth="1"/>
    <col min="9734" max="9737" width="13.109375" style="258" customWidth="1"/>
    <col min="9738" max="9738" width="19.88671875" style="258" customWidth="1"/>
    <col min="9739" max="9987" width="8.88671875" style="258"/>
    <col min="9988" max="9988" width="13.109375" style="258" customWidth="1"/>
    <col min="9989" max="9989" width="21" style="258" customWidth="1"/>
    <col min="9990" max="9993" width="13.109375" style="258" customWidth="1"/>
    <col min="9994" max="9994" width="19.88671875" style="258" customWidth="1"/>
    <col min="9995" max="10243" width="8.88671875" style="258"/>
    <col min="10244" max="10244" width="13.109375" style="258" customWidth="1"/>
    <col min="10245" max="10245" width="21" style="258" customWidth="1"/>
    <col min="10246" max="10249" width="13.109375" style="258" customWidth="1"/>
    <col min="10250" max="10250" width="19.88671875" style="258" customWidth="1"/>
    <col min="10251" max="10499" width="8.88671875" style="258"/>
    <col min="10500" max="10500" width="13.109375" style="258" customWidth="1"/>
    <col min="10501" max="10501" width="21" style="258" customWidth="1"/>
    <col min="10502" max="10505" width="13.109375" style="258" customWidth="1"/>
    <col min="10506" max="10506" width="19.88671875" style="258" customWidth="1"/>
    <col min="10507" max="10755" width="8.88671875" style="258"/>
    <col min="10756" max="10756" width="13.109375" style="258" customWidth="1"/>
    <col min="10757" max="10757" width="21" style="258" customWidth="1"/>
    <col min="10758" max="10761" width="13.109375" style="258" customWidth="1"/>
    <col min="10762" max="10762" width="19.88671875" style="258" customWidth="1"/>
    <col min="10763" max="11011" width="8.88671875" style="258"/>
    <col min="11012" max="11012" width="13.109375" style="258" customWidth="1"/>
    <col min="11013" max="11013" width="21" style="258" customWidth="1"/>
    <col min="11014" max="11017" width="13.109375" style="258" customWidth="1"/>
    <col min="11018" max="11018" width="19.88671875" style="258" customWidth="1"/>
    <col min="11019" max="11267" width="8.88671875" style="258"/>
    <col min="11268" max="11268" width="13.109375" style="258" customWidth="1"/>
    <col min="11269" max="11269" width="21" style="258" customWidth="1"/>
    <col min="11270" max="11273" width="13.109375" style="258" customWidth="1"/>
    <col min="11274" max="11274" width="19.88671875" style="258" customWidth="1"/>
    <col min="11275" max="11523" width="8.88671875" style="258"/>
    <col min="11524" max="11524" width="13.109375" style="258" customWidth="1"/>
    <col min="11525" max="11525" width="21" style="258" customWidth="1"/>
    <col min="11526" max="11529" width="13.109375" style="258" customWidth="1"/>
    <col min="11530" max="11530" width="19.88671875" style="258" customWidth="1"/>
    <col min="11531" max="11779" width="8.88671875" style="258"/>
    <col min="11780" max="11780" width="13.109375" style="258" customWidth="1"/>
    <col min="11781" max="11781" width="21" style="258" customWidth="1"/>
    <col min="11782" max="11785" width="13.109375" style="258" customWidth="1"/>
    <col min="11786" max="11786" width="19.88671875" style="258" customWidth="1"/>
    <col min="11787" max="12035" width="8.88671875" style="258"/>
    <col min="12036" max="12036" width="13.109375" style="258" customWidth="1"/>
    <col min="12037" max="12037" width="21" style="258" customWidth="1"/>
    <col min="12038" max="12041" width="13.109375" style="258" customWidth="1"/>
    <col min="12042" max="12042" width="19.88671875" style="258" customWidth="1"/>
    <col min="12043" max="12291" width="8.88671875" style="258"/>
    <col min="12292" max="12292" width="13.109375" style="258" customWidth="1"/>
    <col min="12293" max="12293" width="21" style="258" customWidth="1"/>
    <col min="12294" max="12297" width="13.109375" style="258" customWidth="1"/>
    <col min="12298" max="12298" width="19.88671875" style="258" customWidth="1"/>
    <col min="12299" max="12547" width="8.88671875" style="258"/>
    <col min="12548" max="12548" width="13.109375" style="258" customWidth="1"/>
    <col min="12549" max="12549" width="21" style="258" customWidth="1"/>
    <col min="12550" max="12553" width="13.109375" style="258" customWidth="1"/>
    <col min="12554" max="12554" width="19.88671875" style="258" customWidth="1"/>
    <col min="12555" max="12803" width="8.88671875" style="258"/>
    <col min="12804" max="12804" width="13.109375" style="258" customWidth="1"/>
    <col min="12805" max="12805" width="21" style="258" customWidth="1"/>
    <col min="12806" max="12809" width="13.109375" style="258" customWidth="1"/>
    <col min="12810" max="12810" width="19.88671875" style="258" customWidth="1"/>
    <col min="12811" max="13059" width="8.88671875" style="258"/>
    <col min="13060" max="13060" width="13.109375" style="258" customWidth="1"/>
    <col min="13061" max="13061" width="21" style="258" customWidth="1"/>
    <col min="13062" max="13065" width="13.109375" style="258" customWidth="1"/>
    <col min="13066" max="13066" width="19.88671875" style="258" customWidth="1"/>
    <col min="13067" max="13315" width="8.88671875" style="258"/>
    <col min="13316" max="13316" width="13.109375" style="258" customWidth="1"/>
    <col min="13317" max="13317" width="21" style="258" customWidth="1"/>
    <col min="13318" max="13321" width="13.109375" style="258" customWidth="1"/>
    <col min="13322" max="13322" width="19.88671875" style="258" customWidth="1"/>
    <col min="13323" max="13571" width="8.88671875" style="258"/>
    <col min="13572" max="13572" width="13.109375" style="258" customWidth="1"/>
    <col min="13573" max="13573" width="21" style="258" customWidth="1"/>
    <col min="13574" max="13577" width="13.109375" style="258" customWidth="1"/>
    <col min="13578" max="13578" width="19.88671875" style="258" customWidth="1"/>
    <col min="13579" max="13827" width="8.88671875" style="258"/>
    <col min="13828" max="13828" width="13.109375" style="258" customWidth="1"/>
    <col min="13829" max="13829" width="21" style="258" customWidth="1"/>
    <col min="13830" max="13833" width="13.109375" style="258" customWidth="1"/>
    <col min="13834" max="13834" width="19.88671875" style="258" customWidth="1"/>
    <col min="13835" max="14083" width="8.88671875" style="258"/>
    <col min="14084" max="14084" width="13.109375" style="258" customWidth="1"/>
    <col min="14085" max="14085" width="21" style="258" customWidth="1"/>
    <col min="14086" max="14089" width="13.109375" style="258" customWidth="1"/>
    <col min="14090" max="14090" width="19.88671875" style="258" customWidth="1"/>
    <col min="14091" max="14339" width="8.88671875" style="258"/>
    <col min="14340" max="14340" width="13.109375" style="258" customWidth="1"/>
    <col min="14341" max="14341" width="21" style="258" customWidth="1"/>
    <col min="14342" max="14345" width="13.109375" style="258" customWidth="1"/>
    <col min="14346" max="14346" width="19.88671875" style="258" customWidth="1"/>
    <col min="14347" max="14595" width="8.88671875" style="258"/>
    <col min="14596" max="14596" width="13.109375" style="258" customWidth="1"/>
    <col min="14597" max="14597" width="21" style="258" customWidth="1"/>
    <col min="14598" max="14601" width="13.109375" style="258" customWidth="1"/>
    <col min="14602" max="14602" width="19.88671875" style="258" customWidth="1"/>
    <col min="14603" max="14851" width="8.88671875" style="258"/>
    <col min="14852" max="14852" width="13.109375" style="258" customWidth="1"/>
    <col min="14853" max="14853" width="21" style="258" customWidth="1"/>
    <col min="14854" max="14857" width="13.109375" style="258" customWidth="1"/>
    <col min="14858" max="14858" width="19.88671875" style="258" customWidth="1"/>
    <col min="14859" max="15107" width="8.88671875" style="258"/>
    <col min="15108" max="15108" width="13.109375" style="258" customWidth="1"/>
    <col min="15109" max="15109" width="21" style="258" customWidth="1"/>
    <col min="15110" max="15113" width="13.109375" style="258" customWidth="1"/>
    <col min="15114" max="15114" width="19.88671875" style="258" customWidth="1"/>
    <col min="15115" max="15363" width="8.88671875" style="258"/>
    <col min="15364" max="15364" width="13.109375" style="258" customWidth="1"/>
    <col min="15365" max="15365" width="21" style="258" customWidth="1"/>
    <col min="15366" max="15369" width="13.109375" style="258" customWidth="1"/>
    <col min="15370" max="15370" width="19.88671875" style="258" customWidth="1"/>
    <col min="15371" max="15619" width="8.88671875" style="258"/>
    <col min="15620" max="15620" width="13.109375" style="258" customWidth="1"/>
    <col min="15621" max="15621" width="21" style="258" customWidth="1"/>
    <col min="15622" max="15625" width="13.109375" style="258" customWidth="1"/>
    <col min="15626" max="15626" width="19.88671875" style="258" customWidth="1"/>
    <col min="15627" max="15875" width="8.88671875" style="258"/>
    <col min="15876" max="15876" width="13.109375" style="258" customWidth="1"/>
    <col min="15877" max="15877" width="21" style="258" customWidth="1"/>
    <col min="15878" max="15881" width="13.109375" style="258" customWidth="1"/>
    <col min="15882" max="15882" width="19.88671875" style="258" customWidth="1"/>
    <col min="15883" max="16131" width="8.88671875" style="258"/>
    <col min="16132" max="16132" width="13.109375" style="258" customWidth="1"/>
    <col min="16133" max="16133" width="21" style="258" customWidth="1"/>
    <col min="16134" max="16137" width="13.109375" style="258" customWidth="1"/>
    <col min="16138" max="16138" width="19.88671875" style="258" customWidth="1"/>
    <col min="16139" max="16384" width="8.88671875" style="258"/>
  </cols>
  <sheetData>
    <row r="1" spans="1:18" ht="22.05" customHeight="1" x14ac:dyDescent="0.25">
      <c r="B1" s="476"/>
    </row>
    <row r="2" spans="1:18" s="458" customFormat="1" ht="43.95" customHeight="1" x14ac:dyDescent="0.25">
      <c r="B2" s="457" t="s">
        <v>1223</v>
      </c>
      <c r="C2" s="458" t="s">
        <v>1202</v>
      </c>
      <c r="D2" s="459" t="s">
        <v>1222</v>
      </c>
      <c r="E2" s="458" t="s">
        <v>1217</v>
      </c>
      <c r="F2" s="458" t="s">
        <v>1218</v>
      </c>
      <c r="G2" s="458" t="s">
        <v>1219</v>
      </c>
      <c r="H2" s="460" t="s">
        <v>1216</v>
      </c>
      <c r="I2" s="458" t="s">
        <v>1220</v>
      </c>
      <c r="J2" s="460" t="s">
        <v>1221</v>
      </c>
      <c r="K2" s="460"/>
      <c r="M2" s="494"/>
      <c r="N2" s="494"/>
      <c r="O2" s="494"/>
      <c r="P2" s="494"/>
      <c r="Q2" s="494"/>
      <c r="R2" s="258"/>
    </row>
    <row r="3" spans="1:18" s="250" customFormat="1" ht="22.05" customHeight="1" thickBot="1" x14ac:dyDescent="0.3">
      <c r="A3" s="477" t="s">
        <v>1228</v>
      </c>
      <c r="B3" s="456"/>
      <c r="D3" s="550"/>
      <c r="M3" s="556"/>
      <c r="N3" s="556"/>
    </row>
    <row r="4" spans="1:18" ht="22.05" customHeight="1" thickBot="1" x14ac:dyDescent="0.3">
      <c r="B4" s="557"/>
      <c r="C4" s="558"/>
      <c r="D4" s="560" t="s">
        <v>1320</v>
      </c>
      <c r="E4" s="609">
        <v>350</v>
      </c>
      <c r="F4" s="485">
        <v>43958</v>
      </c>
      <c r="G4" s="485">
        <v>44685</v>
      </c>
      <c r="H4" s="486">
        <f>SUM(G4-F4)/365</f>
        <v>1.9917808219178081</v>
      </c>
      <c r="I4" s="487">
        <f>Overview!C52</f>
        <v>0.156</v>
      </c>
      <c r="J4" s="597">
        <f>SUM(E4*(1+I4)^(H4))</f>
        <v>467.16064659284638</v>
      </c>
      <c r="K4" s="554"/>
    </row>
    <row r="5" spans="1:18" ht="22.05" customHeight="1" thickBot="1" x14ac:dyDescent="0.3">
      <c r="B5" s="475"/>
      <c r="D5" s="490"/>
      <c r="E5" s="601"/>
      <c r="J5" s="598"/>
      <c r="N5" s="258" t="s">
        <v>349</v>
      </c>
    </row>
    <row r="6" spans="1:18" ht="22.05" customHeight="1" thickBot="1" x14ac:dyDescent="0.3">
      <c r="B6" s="557"/>
      <c r="C6" s="558"/>
      <c r="D6" s="560" t="s">
        <v>1320</v>
      </c>
      <c r="E6" s="609">
        <v>284</v>
      </c>
      <c r="F6" s="485">
        <v>43958</v>
      </c>
      <c r="G6" s="485">
        <v>44685</v>
      </c>
      <c r="H6" s="486">
        <f>SUM(G6-F6)/365</f>
        <v>1.9917808219178081</v>
      </c>
      <c r="I6" s="487">
        <f>Overview!C52</f>
        <v>0.156</v>
      </c>
      <c r="J6" s="597">
        <f>SUM(E6*(1+I6)^(H6))</f>
        <v>379.06749609248106</v>
      </c>
      <c r="K6" s="554"/>
    </row>
    <row r="7" spans="1:18" ht="22.05" customHeight="1" thickBot="1" x14ac:dyDescent="0.3">
      <c r="B7" s="475"/>
      <c r="D7" s="490"/>
      <c r="E7" s="601"/>
      <c r="J7" s="598"/>
    </row>
    <row r="8" spans="1:18" ht="22.05" customHeight="1" thickBot="1" x14ac:dyDescent="0.3">
      <c r="B8" s="557"/>
      <c r="C8" s="558"/>
      <c r="D8" s="560" t="s">
        <v>1320</v>
      </c>
      <c r="E8" s="609">
        <v>73</v>
      </c>
      <c r="F8" s="485">
        <v>43958</v>
      </c>
      <c r="G8" s="485">
        <v>44685</v>
      </c>
      <c r="H8" s="486">
        <f>SUM(G8-F8)/365</f>
        <v>1.9917808219178081</v>
      </c>
      <c r="I8" s="487">
        <f>Overview!C52</f>
        <v>0.156</v>
      </c>
      <c r="J8" s="597">
        <f>SUM(E8*(1+I8)^(H8))</f>
        <v>97.436363432222251</v>
      </c>
      <c r="K8" s="554"/>
      <c r="M8" s="563"/>
    </row>
    <row r="9" spans="1:18" ht="22.05" customHeight="1" x14ac:dyDescent="0.25">
      <c r="E9" s="601"/>
      <c r="M9" s="563"/>
    </row>
    <row r="10" spans="1:18" x14ac:dyDescent="0.25">
      <c r="E10" s="601"/>
      <c r="M10" s="563"/>
    </row>
    <row r="11" spans="1:18" ht="22.05" customHeight="1" thickBot="1" x14ac:dyDescent="0.3">
      <c r="A11" s="479" t="s">
        <v>1227</v>
      </c>
      <c r="E11" s="608"/>
      <c r="F11" s="244"/>
      <c r="G11" s="244"/>
      <c r="H11" s="584"/>
      <c r="I11" s="244"/>
      <c r="J11" s="584"/>
      <c r="M11" s="456" t="s">
        <v>1321</v>
      </c>
    </row>
    <row r="12" spans="1:18" ht="22.05" customHeight="1" x14ac:dyDescent="0.25">
      <c r="B12" s="764" t="str">
        <f>Overview!B24</f>
        <v>Construction</v>
      </c>
      <c r="C12" s="762">
        <f>Overview!A24</f>
        <v>2</v>
      </c>
      <c r="D12" s="767" t="s">
        <v>1234</v>
      </c>
      <c r="E12" s="610">
        <f>Overview!C24</f>
        <v>37990086.049609505</v>
      </c>
      <c r="F12" s="585">
        <v>44562</v>
      </c>
      <c r="G12" s="586">
        <f>F12+364</f>
        <v>44926</v>
      </c>
      <c r="H12" s="587">
        <f>SUM(G12-F12)/365</f>
        <v>0.99726027397260275</v>
      </c>
      <c r="I12" s="588">
        <f>Overview!C52</f>
        <v>0.156</v>
      </c>
      <c r="J12" s="589">
        <f>SUM(E12*(1+I12)^(H12))</f>
        <v>43899100.758610368</v>
      </c>
      <c r="K12" s="554"/>
      <c r="L12" s="600">
        <v>2022</v>
      </c>
      <c r="M12" s="563"/>
    </row>
    <row r="13" spans="1:18" ht="22.05" customHeight="1" x14ac:dyDescent="0.25">
      <c r="B13" s="764"/>
      <c r="C13" s="762"/>
      <c r="D13" s="767"/>
      <c r="E13" s="606"/>
      <c r="F13" s="582"/>
      <c r="G13" s="580"/>
      <c r="H13" s="483"/>
      <c r="I13" s="581"/>
      <c r="J13" s="484"/>
      <c r="K13" s="554"/>
      <c r="L13" s="600"/>
    </row>
    <row r="14" spans="1:18" ht="22.05" customHeight="1" x14ac:dyDescent="0.25">
      <c r="B14" s="765"/>
      <c r="C14" s="763"/>
      <c r="D14" s="768"/>
      <c r="E14" s="605">
        <f>J12</f>
        <v>43899100.758610368</v>
      </c>
      <c r="F14" s="580">
        <f>G12+1</f>
        <v>44927</v>
      </c>
      <c r="G14" s="580">
        <f>F14+364</f>
        <v>45291</v>
      </c>
      <c r="H14" s="483">
        <f>SUM(G14-F14)/365</f>
        <v>0.99726027397260275</v>
      </c>
      <c r="I14" s="581">
        <f>Overview!C48+Overview!C50</f>
        <v>0.10600000000000001</v>
      </c>
      <c r="J14" s="590">
        <f>SUM(E14*(1+I14)^(H14))</f>
        <v>48539005.507266104</v>
      </c>
      <c r="K14" s="554"/>
      <c r="L14" s="600">
        <v>2023</v>
      </c>
      <c r="M14" s="563">
        <f>J16/E12</f>
        <v>1.5232525767681322</v>
      </c>
    </row>
    <row r="15" spans="1:18" ht="22.05" customHeight="1" x14ac:dyDescent="0.25">
      <c r="B15" s="766"/>
      <c r="C15" s="763"/>
      <c r="D15" s="766"/>
      <c r="E15" s="606"/>
      <c r="F15" s="580"/>
      <c r="G15" s="580"/>
      <c r="H15" s="483"/>
      <c r="I15" s="581"/>
      <c r="J15" s="484"/>
      <c r="K15" s="554"/>
      <c r="M15" s="563"/>
    </row>
    <row r="16" spans="1:18" ht="22.05" customHeight="1" thickBot="1" x14ac:dyDescent="0.3">
      <c r="B16" s="766"/>
      <c r="C16" s="763"/>
      <c r="D16" s="766"/>
      <c r="E16" s="607">
        <f>J14</f>
        <v>48539005.507266104</v>
      </c>
      <c r="F16" s="591">
        <f>G14+1</f>
        <v>45292</v>
      </c>
      <c r="G16" s="591">
        <f>Overview!C46</f>
        <v>46296</v>
      </c>
      <c r="H16" s="592">
        <f>SUM(G16-F16)/365</f>
        <v>2.7506849315068491</v>
      </c>
      <c r="I16" s="593">
        <f>Overview!C48+Overview!C51</f>
        <v>6.6000000000000003E-2</v>
      </c>
      <c r="J16" s="599">
        <f>SUM(E16*(1+I16)^(H16))</f>
        <v>57868496.466710746</v>
      </c>
      <c r="K16" s="554"/>
      <c r="L16" s="258" t="s">
        <v>1326</v>
      </c>
      <c r="M16" s="563"/>
    </row>
    <row r="17" spans="2:13" ht="22.05" customHeight="1" thickBot="1" x14ac:dyDescent="0.3">
      <c r="E17" s="601"/>
      <c r="J17" s="461"/>
      <c r="K17" s="461"/>
      <c r="M17" s="563"/>
    </row>
    <row r="18" spans="2:13" ht="43.95" customHeight="1" thickBot="1" x14ac:dyDescent="0.3">
      <c r="B18" s="482" t="str">
        <f>Overview!B25</f>
        <v>Design &amp; Related Services</v>
      </c>
      <c r="C18" s="481">
        <f>Overview!A27</f>
        <v>3</v>
      </c>
      <c r="D18" s="491" t="s">
        <v>1235</v>
      </c>
      <c r="E18" s="602">
        <f>Overview!C25</f>
        <v>3919378.1332233679</v>
      </c>
      <c r="F18" s="488">
        <v>44562</v>
      </c>
      <c r="G18" s="488">
        <f>Overview!C45</f>
        <v>45931</v>
      </c>
      <c r="H18" s="486">
        <f>SUM(G18-F18)/365</f>
        <v>3.7506849315068491</v>
      </c>
      <c r="I18" s="489">
        <f>Overview!C48</f>
        <v>6.6000000000000003E-2</v>
      </c>
      <c r="J18" s="597">
        <f>SUM(E18*(1+I18)^(H18))</f>
        <v>4981104.9778331332</v>
      </c>
      <c r="K18" s="554"/>
      <c r="L18" s="258" t="s">
        <v>1231</v>
      </c>
      <c r="M18" s="563">
        <f>J18/E18</f>
        <v>1.2708916589623829</v>
      </c>
    </row>
    <row r="19" spans="2:13" ht="22.05" customHeight="1" thickBot="1" x14ac:dyDescent="0.3">
      <c r="E19" s="601"/>
      <c r="M19" s="563"/>
    </row>
    <row r="20" spans="2:13" ht="43.95" customHeight="1" thickBot="1" x14ac:dyDescent="0.3">
      <c r="B20" s="482" t="str">
        <f>Overview!B26</f>
        <v>Inspection &amp; Testing Services</v>
      </c>
      <c r="C20" s="481">
        <f>Overview!A26</f>
        <v>3</v>
      </c>
      <c r="D20" s="491" t="s">
        <v>1235</v>
      </c>
      <c r="E20" s="602">
        <f>Overview!C26</f>
        <v>104129.1224004813</v>
      </c>
      <c r="F20" s="488">
        <v>44562</v>
      </c>
      <c r="G20" s="488">
        <f>Overview!C45</f>
        <v>45931</v>
      </c>
      <c r="H20" s="486">
        <f>SUM(G20-F20)/365</f>
        <v>3.7506849315068491</v>
      </c>
      <c r="I20" s="489">
        <f>Overview!C48</f>
        <v>6.6000000000000003E-2</v>
      </c>
      <c r="J20" s="597">
        <f>SUM(E20*(1+I20)^(H20))</f>
        <v>132336.83311384471</v>
      </c>
      <c r="K20" s="554"/>
      <c r="L20" s="258" t="s">
        <v>1231</v>
      </c>
      <c r="M20" s="563">
        <f>J20/E20</f>
        <v>1.2708916589623829</v>
      </c>
    </row>
    <row r="21" spans="2:13" ht="22.05" customHeight="1" thickBot="1" x14ac:dyDescent="0.3">
      <c r="E21" s="601"/>
      <c r="J21" s="598"/>
      <c r="M21" s="563"/>
    </row>
    <row r="22" spans="2:13" ht="43.95" customHeight="1" thickBot="1" x14ac:dyDescent="0.3">
      <c r="B22" s="482" t="str">
        <f>Overview!B27</f>
        <v>Project Management &amp; Other Costs</v>
      </c>
      <c r="C22" s="481">
        <f>Overview!A27</f>
        <v>3</v>
      </c>
      <c r="D22" s="491" t="s">
        <v>1235</v>
      </c>
      <c r="E22" s="602">
        <f>Overview!C27</f>
        <v>2034426.4105872959</v>
      </c>
      <c r="F22" s="488">
        <v>44562</v>
      </c>
      <c r="G22" s="488">
        <f>Overview!C45</f>
        <v>45931</v>
      </c>
      <c r="H22" s="486">
        <f>SUM(G22-F22)/365</f>
        <v>3.7506849315068491</v>
      </c>
      <c r="I22" s="489">
        <f>Overview!C48</f>
        <v>6.6000000000000003E-2</v>
      </c>
      <c r="J22" s="597">
        <f>SUM(E22*(1+I22)^(H22))</f>
        <v>2585535.5559881744</v>
      </c>
      <c r="K22" s="554"/>
      <c r="L22" s="258" t="s">
        <v>1231</v>
      </c>
      <c r="M22" s="563">
        <f>J22/E22</f>
        <v>1.2708916589623829</v>
      </c>
    </row>
    <row r="23" spans="2:13" ht="22.05" customHeight="1" thickBot="1" x14ac:dyDescent="0.3">
      <c r="E23" s="601"/>
      <c r="M23" s="563"/>
    </row>
    <row r="24" spans="2:13" ht="22.05" customHeight="1" x14ac:dyDescent="0.25">
      <c r="B24" s="764" t="str">
        <f>Overview!B28</f>
        <v>Furnishings &amp; Movable Equipment</v>
      </c>
      <c r="C24" s="762">
        <f>Overview!A58</f>
        <v>4</v>
      </c>
      <c r="D24" s="767" t="s">
        <v>1236</v>
      </c>
      <c r="E24" s="603">
        <f>Overview!C28</f>
        <v>311372.02488277445</v>
      </c>
      <c r="F24" s="585">
        <v>44562</v>
      </c>
      <c r="G24" s="585">
        <f>F24+364</f>
        <v>44926</v>
      </c>
      <c r="H24" s="587">
        <f>SUM(G24-F24)/365</f>
        <v>0.99726027397260275</v>
      </c>
      <c r="I24" s="594">
        <f>Overview!C52</f>
        <v>0.156</v>
      </c>
      <c r="J24" s="589">
        <f>SUM(E24*(1+I24)^(H24))</f>
        <v>359803.13063497131</v>
      </c>
      <c r="K24" s="554"/>
      <c r="L24" s="600">
        <v>2022</v>
      </c>
      <c r="M24" s="563"/>
    </row>
    <row r="25" spans="2:13" ht="22.05" customHeight="1" x14ac:dyDescent="0.25">
      <c r="B25" s="764"/>
      <c r="C25" s="762"/>
      <c r="D25" s="767"/>
      <c r="E25" s="604"/>
      <c r="F25" s="582"/>
      <c r="G25" s="582"/>
      <c r="H25" s="483"/>
      <c r="I25" s="583"/>
      <c r="J25" s="484"/>
      <c r="K25" s="554"/>
      <c r="L25" s="600"/>
      <c r="M25" s="563"/>
    </row>
    <row r="26" spans="2:13" ht="22.05" customHeight="1" x14ac:dyDescent="0.25">
      <c r="B26" s="765"/>
      <c r="C26" s="763"/>
      <c r="D26" s="768"/>
      <c r="E26" s="605">
        <f>J24</f>
        <v>359803.13063497131</v>
      </c>
      <c r="F26" s="582">
        <f>G24+1</f>
        <v>44927</v>
      </c>
      <c r="G26" s="580">
        <f>F26+364</f>
        <v>45291</v>
      </c>
      <c r="H26" s="483">
        <f>SUM(G26-F26)/365</f>
        <v>0.99726027397260275</v>
      </c>
      <c r="I26" s="583">
        <f>Overview!C48+Overview!C50</f>
        <v>0.10600000000000001</v>
      </c>
      <c r="J26" s="590">
        <f>SUM(E26*(1+I26)^(H26))</f>
        <v>397832.43477936107</v>
      </c>
      <c r="K26" s="554"/>
      <c r="L26" s="600">
        <v>2023</v>
      </c>
      <c r="M26" s="563">
        <f>J28/E24</f>
        <v>1.6237872468348289</v>
      </c>
    </row>
    <row r="27" spans="2:13" ht="22.05" customHeight="1" x14ac:dyDescent="0.25">
      <c r="B27" s="766"/>
      <c r="C27" s="763"/>
      <c r="D27" s="766"/>
      <c r="E27" s="606"/>
      <c r="F27" s="582"/>
      <c r="G27" s="582"/>
      <c r="H27" s="483"/>
      <c r="I27" s="583"/>
      <c r="J27" s="484"/>
      <c r="K27" s="554"/>
      <c r="M27" s="563"/>
    </row>
    <row r="28" spans="2:13" ht="22.05" customHeight="1" thickBot="1" x14ac:dyDescent="0.3">
      <c r="B28" s="766"/>
      <c r="C28" s="763"/>
      <c r="D28" s="766"/>
      <c r="E28" s="607">
        <f>J26</f>
        <v>397832.43477936107</v>
      </c>
      <c r="F28" s="595">
        <f>G26+1</f>
        <v>45292</v>
      </c>
      <c r="G28" s="595">
        <f>Overview!C47</f>
        <v>46661</v>
      </c>
      <c r="H28" s="592">
        <f>SUM(G28-F28)/365</f>
        <v>3.7506849315068491</v>
      </c>
      <c r="I28" s="596">
        <f>Overview!C48+Overview!C51</f>
        <v>6.6000000000000003E-2</v>
      </c>
      <c r="J28" s="599">
        <f>SUM(E28*(1+I28)^(H28))</f>
        <v>505601.92302578618</v>
      </c>
      <c r="K28" s="554"/>
      <c r="L28" s="258" t="s">
        <v>1327</v>
      </c>
      <c r="M28" s="563"/>
    </row>
    <row r="29" spans="2:13" ht="22.05" customHeight="1" thickBot="1" x14ac:dyDescent="0.3">
      <c r="E29" s="608"/>
      <c r="F29" s="244"/>
      <c r="G29" s="244"/>
      <c r="H29" s="584"/>
      <c r="I29" s="244"/>
      <c r="J29" s="584"/>
      <c r="M29" s="563"/>
    </row>
    <row r="30" spans="2:13" ht="22.05" customHeight="1" x14ac:dyDescent="0.25">
      <c r="B30" s="764" t="str">
        <f>Overview!B29</f>
        <v>Construction Contingency</v>
      </c>
      <c r="C30" s="762">
        <f>Overview!A56</f>
        <v>2</v>
      </c>
      <c r="D30" s="767" t="s">
        <v>1234</v>
      </c>
      <c r="E30" s="603">
        <f>IF(Overview!C29="",0,Overview!C29)</f>
        <v>1063973.4972746838</v>
      </c>
      <c r="F30" s="585">
        <v>44562</v>
      </c>
      <c r="G30" s="585">
        <f>F30+364</f>
        <v>44926</v>
      </c>
      <c r="H30" s="587">
        <f>SUM(G30-F30)/365</f>
        <v>0.99726027397260275</v>
      </c>
      <c r="I30" s="594">
        <f>Overview!C52</f>
        <v>0.156</v>
      </c>
      <c r="J30" s="589">
        <f>SUM(E30*(1+I30)^(H30))</f>
        <v>1229464.9635791625</v>
      </c>
      <c r="K30" s="554"/>
      <c r="L30" s="600">
        <v>2022</v>
      </c>
      <c r="M30" s="563"/>
    </row>
    <row r="31" spans="2:13" ht="22.05" customHeight="1" x14ac:dyDescent="0.25">
      <c r="B31" s="764"/>
      <c r="C31" s="762"/>
      <c r="D31" s="767"/>
      <c r="E31" s="604"/>
      <c r="F31" s="582"/>
      <c r="G31" s="582"/>
      <c r="H31" s="483"/>
      <c r="I31" s="583"/>
      <c r="J31" s="484"/>
      <c r="K31" s="554"/>
      <c r="L31" s="600"/>
      <c r="M31" s="563"/>
    </row>
    <row r="32" spans="2:13" ht="22.05" customHeight="1" x14ac:dyDescent="0.25">
      <c r="B32" s="765"/>
      <c r="C32" s="763"/>
      <c r="D32" s="768"/>
      <c r="E32" s="605">
        <f>J30</f>
        <v>1229464.9635791625</v>
      </c>
      <c r="F32" s="582">
        <f>G30+1</f>
        <v>44927</v>
      </c>
      <c r="G32" s="580">
        <f>F32+364</f>
        <v>45291</v>
      </c>
      <c r="H32" s="483">
        <f>SUM(G32-F32)/365</f>
        <v>0.99726027397260275</v>
      </c>
      <c r="I32" s="583">
        <f>Overview!C48+Overview!C50</f>
        <v>0.10600000000000001</v>
      </c>
      <c r="J32" s="590">
        <f>SUM(E32*(1+I32)^(H32))</f>
        <v>1359412.9630651863</v>
      </c>
      <c r="K32" s="554"/>
      <c r="L32" s="600">
        <v>2023</v>
      </c>
      <c r="M32" s="563">
        <f>J34/E30</f>
        <v>1.5232525767681322</v>
      </c>
    </row>
    <row r="33" spans="2:13" ht="22.05" customHeight="1" x14ac:dyDescent="0.25">
      <c r="B33" s="766"/>
      <c r="C33" s="763"/>
      <c r="D33" s="766"/>
      <c r="E33" s="606"/>
      <c r="F33" s="582"/>
      <c r="G33" s="582"/>
      <c r="H33" s="483"/>
      <c r="I33" s="583"/>
      <c r="J33" s="484"/>
      <c r="K33" s="554"/>
      <c r="M33" s="563"/>
    </row>
    <row r="34" spans="2:13" ht="22.05" customHeight="1" thickBot="1" x14ac:dyDescent="0.3">
      <c r="B34" s="766"/>
      <c r="C34" s="763"/>
      <c r="D34" s="766"/>
      <c r="E34" s="607">
        <f>J32</f>
        <v>1359412.9630651863</v>
      </c>
      <c r="F34" s="595">
        <f>G32+1</f>
        <v>45292</v>
      </c>
      <c r="G34" s="595">
        <f>Overview!C46</f>
        <v>46296</v>
      </c>
      <c r="H34" s="592">
        <f>SUM(G34-F34)/365</f>
        <v>2.7506849315068491</v>
      </c>
      <c r="I34" s="596">
        <f>Overview!C48+Overview!C51</f>
        <v>6.6000000000000003E-2</v>
      </c>
      <c r="J34" s="599">
        <f>SUM(E34*(1+I34)^(H34))</f>
        <v>1620700.3713366634</v>
      </c>
      <c r="K34" s="554"/>
      <c r="L34" s="258" t="s">
        <v>1326</v>
      </c>
      <c r="M34" s="563"/>
    </row>
    <row r="35" spans="2:13" ht="22.05" customHeight="1" thickBot="1" x14ac:dyDescent="0.3">
      <c r="E35" s="601"/>
      <c r="M35" s="563"/>
    </row>
    <row r="36" spans="2:13" ht="43.95" customHeight="1" thickBot="1" x14ac:dyDescent="0.3">
      <c r="B36" s="482" t="str">
        <f>Overview!B33</f>
        <v>Detailed Planning Phase</v>
      </c>
      <c r="C36" s="481">
        <f>Overview!A57</f>
        <v>3</v>
      </c>
      <c r="D36" s="491" t="s">
        <v>1235</v>
      </c>
      <c r="E36" s="602">
        <f>Overview!C33</f>
        <v>2513657.2778603649</v>
      </c>
      <c r="F36" s="488">
        <v>44562</v>
      </c>
      <c r="G36" s="488">
        <f>IF(Overview!C45="","",AVERAGE(Overview!C53,Overview!C45))</f>
        <v>45383</v>
      </c>
      <c r="H36" s="486">
        <f>IF(G36="","",SUM(G36-F36)/365)</f>
        <v>2.2493150684931509</v>
      </c>
      <c r="I36" s="489">
        <f>Overview!C48</f>
        <v>6.6000000000000003E-2</v>
      </c>
      <c r="J36" s="597">
        <f>IF(G36="","",SUM(E36*(1+I36)^(H36)))</f>
        <v>2902289.7143071522</v>
      </c>
      <c r="K36" s="554"/>
      <c r="L36" s="258" t="s">
        <v>1233</v>
      </c>
      <c r="M36" s="563">
        <f>J36/E36</f>
        <v>1.1546083628304304</v>
      </c>
    </row>
    <row r="37" spans="2:13" ht="22.05" customHeight="1" thickBot="1" x14ac:dyDescent="0.3">
      <c r="E37" s="601"/>
      <c r="J37" s="598"/>
      <c r="M37" s="563"/>
    </row>
    <row r="38" spans="2:13" ht="22.05" customHeight="1" thickBot="1" x14ac:dyDescent="0.3">
      <c r="B38" s="482" t="str">
        <f>Overview!B35</f>
        <v>Total Planning to Bid Phase</v>
      </c>
      <c r="C38" s="481">
        <f>Overview!A57</f>
        <v>3</v>
      </c>
      <c r="D38" s="491" t="s">
        <v>1212</v>
      </c>
      <c r="E38" s="602">
        <f>Overview!C35</f>
        <v>4401152.2943461929</v>
      </c>
      <c r="F38" s="488">
        <v>44562</v>
      </c>
      <c r="G38" s="488">
        <f>Overview!C45</f>
        <v>45931</v>
      </c>
      <c r="H38" s="486">
        <f>SUM(G38-F38)/365</f>
        <v>3.7506849315068491</v>
      </c>
      <c r="I38" s="489">
        <f>Overview!C48</f>
        <v>6.6000000000000003E-2</v>
      </c>
      <c r="J38" s="597">
        <f>SUM(E38*(1+I38)^(H38))</f>
        <v>5593387.7407077309</v>
      </c>
      <c r="K38" s="554"/>
      <c r="L38" s="258" t="s">
        <v>1231</v>
      </c>
      <c r="M38" s="563">
        <f>J38/E38</f>
        <v>1.2708916589623829</v>
      </c>
    </row>
    <row r="39" spans="2:13" ht="22.05" customHeight="1" x14ac:dyDescent="0.25">
      <c r="E39" s="601"/>
      <c r="M39" s="563"/>
    </row>
    <row r="40" spans="2:13" x14ac:dyDescent="0.25">
      <c r="E40" s="601"/>
      <c r="M40" s="563"/>
    </row>
    <row r="41" spans="2:13" x14ac:dyDescent="0.25">
      <c r="E41" s="601"/>
    </row>
    <row r="42" spans="2:13" x14ac:dyDescent="0.25">
      <c r="E42" s="601"/>
    </row>
    <row r="43" spans="2:13" x14ac:dyDescent="0.25">
      <c r="E43" s="601"/>
    </row>
    <row r="44" spans="2:13" x14ac:dyDescent="0.25">
      <c r="E44" s="601"/>
    </row>
    <row r="45" spans="2:13" x14ac:dyDescent="0.25">
      <c r="E45" s="601"/>
    </row>
  </sheetData>
  <sheetProtection algorithmName="SHA-512" hashValue="9ujnkWnR43hwquZKqbYgcQpH+a+ypLUI1qfc7Pfed/hfgdcq4eUK+8R2QVaa7RzziRQvNA+bUqPJBuIELZw4KA==" saltValue="Xf75/uEhYdz3dX/GQPxMmg==" spinCount="100000" sheet="1" objects="1" scenarios="1"/>
  <mergeCells count="9">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Normal="100" zoomScaleSheetLayoutView="100" workbookViewId="0">
      <selection activeCell="I7" sqref="I7"/>
    </sheetView>
  </sheetViews>
  <sheetFormatPr defaultColWidth="9.109375" defaultRowHeight="13.2" x14ac:dyDescent="0.25"/>
  <cols>
    <col min="1" max="1" width="9.109375" style="294"/>
    <col min="2" max="2" width="4.6640625" style="294" customWidth="1"/>
    <col min="3" max="3" width="88.6640625" style="294" customWidth="1"/>
    <col min="4" max="16384" width="9.109375" style="294"/>
  </cols>
  <sheetData>
    <row r="1" spans="1:3" s="175" customFormat="1" ht="18.75" customHeight="1" x14ac:dyDescent="0.25">
      <c r="A1" s="639" t="s">
        <v>1118</v>
      </c>
      <c r="B1" s="769"/>
    </row>
    <row r="3" spans="1:3" ht="20.25" customHeight="1" x14ac:dyDescent="0.3">
      <c r="B3" s="296" t="s">
        <v>1158</v>
      </c>
    </row>
    <row r="4" spans="1:3" x14ac:dyDescent="0.25">
      <c r="B4" s="297"/>
    </row>
    <row r="5" spans="1:3" ht="92.4" x14ac:dyDescent="0.25">
      <c r="B5" s="297"/>
      <c r="C5" s="293" t="s">
        <v>1184</v>
      </c>
    </row>
    <row r="6" spans="1:3" ht="66" x14ac:dyDescent="0.25">
      <c r="B6" s="297"/>
      <c r="C6" s="293" t="s">
        <v>1162</v>
      </c>
    </row>
    <row r="7" spans="1:3" ht="31.5" customHeight="1" x14ac:dyDescent="0.25">
      <c r="B7" s="297"/>
      <c r="C7" s="293" t="s">
        <v>1154</v>
      </c>
    </row>
    <row r="8" spans="1:3" x14ac:dyDescent="0.25">
      <c r="B8" s="297" t="s">
        <v>1163</v>
      </c>
      <c r="C8" s="293"/>
    </row>
    <row r="9" spans="1:3" ht="63.75" customHeight="1" x14ac:dyDescent="0.25">
      <c r="B9" s="297"/>
      <c r="C9" s="293" t="s">
        <v>1164</v>
      </c>
    </row>
    <row r="10" spans="1:3" x14ac:dyDescent="0.25">
      <c r="B10" s="298" t="s">
        <v>1165</v>
      </c>
      <c r="C10" s="293"/>
    </row>
    <row r="11" spans="1:3" x14ac:dyDescent="0.25">
      <c r="B11" s="297"/>
      <c r="C11" s="293" t="s">
        <v>1166</v>
      </c>
    </row>
    <row r="12" spans="1:3" x14ac:dyDescent="0.25">
      <c r="B12" s="298" t="s">
        <v>1167</v>
      </c>
      <c r="C12" s="293"/>
    </row>
    <row r="13" spans="1:3" ht="39.6" x14ac:dyDescent="0.25">
      <c r="B13" s="297"/>
      <c r="C13" s="293" t="s">
        <v>1168</v>
      </c>
    </row>
    <row r="14" spans="1:3" x14ac:dyDescent="0.25">
      <c r="B14" s="298" t="s">
        <v>1169</v>
      </c>
      <c r="C14" s="299"/>
    </row>
    <row r="15" spans="1:3" ht="43.5" customHeight="1" x14ac:dyDescent="0.25">
      <c r="B15" s="297"/>
      <c r="C15" s="293" t="s">
        <v>1170</v>
      </c>
    </row>
    <row r="16" spans="1:3" x14ac:dyDescent="0.25">
      <c r="B16" s="298" t="s">
        <v>1171</v>
      </c>
      <c r="C16" s="299"/>
    </row>
    <row r="17" spans="2:3" ht="77.25" customHeight="1" x14ac:dyDescent="0.25">
      <c r="B17" s="297"/>
      <c r="C17" s="293" t="s">
        <v>1172</v>
      </c>
    </row>
    <row r="18" spans="2:3" ht="26.4" x14ac:dyDescent="0.25">
      <c r="B18" s="297"/>
      <c r="C18" s="293" t="s">
        <v>1155</v>
      </c>
    </row>
    <row r="19" spans="2:3" x14ac:dyDescent="0.25">
      <c r="B19" s="298" t="s">
        <v>1173</v>
      </c>
      <c r="C19" s="299"/>
    </row>
    <row r="20" spans="2:3" ht="66" x14ac:dyDescent="0.25">
      <c r="B20" s="297"/>
      <c r="C20" s="293" t="s">
        <v>1174</v>
      </c>
    </row>
    <row r="21" spans="2:3" x14ac:dyDescent="0.25">
      <c r="B21" s="298" t="s">
        <v>1175</v>
      </c>
      <c r="C21" s="299"/>
    </row>
    <row r="22" spans="2:3" ht="52.8" x14ac:dyDescent="0.25">
      <c r="B22" s="297"/>
      <c r="C22" s="293" t="s">
        <v>1176</v>
      </c>
    </row>
    <row r="23" spans="2:3" x14ac:dyDescent="0.25">
      <c r="B23" s="298" t="s">
        <v>1177</v>
      </c>
      <c r="C23" s="299"/>
    </row>
    <row r="24" spans="2:3" ht="158.4" x14ac:dyDescent="0.25">
      <c r="B24" s="297"/>
      <c r="C24" s="293" t="s">
        <v>1178</v>
      </c>
    </row>
    <row r="25" spans="2:3" x14ac:dyDescent="0.25">
      <c r="B25" s="298" t="s">
        <v>1179</v>
      </c>
      <c r="C25" s="299"/>
    </row>
    <row r="26" spans="2:3" ht="52.8" x14ac:dyDescent="0.25">
      <c r="B26" s="297"/>
      <c r="C26" s="293" t="s">
        <v>1180</v>
      </c>
    </row>
    <row r="28" spans="2:3" x14ac:dyDescent="0.25">
      <c r="B28" s="770" t="s">
        <v>1187</v>
      </c>
      <c r="C28" s="771"/>
    </row>
    <row r="30" spans="2:3" x14ac:dyDescent="0.25">
      <c r="B30" s="772" t="s">
        <v>1189</v>
      </c>
      <c r="C30" s="773"/>
    </row>
  </sheetData>
  <sheetProtection algorithmName="SHA-512" hashValue="qoGVB+vM1fFa2mxhOru4MwsayturxWPrhz2L2GPUYv1D8XgQ7L0W5VswhaoostQh1ULDzHmROSnYy46Dh5qjOQ==" saltValue="CkgOfC12xB5i5mRSU1aD/g==" spinCount="100000" sheet="1" objects="1" scenarios="1"/>
  <mergeCells count="3">
    <mergeCell ref="A1:B1"/>
    <mergeCell ref="B28:C28"/>
    <mergeCell ref="B30:C30"/>
  </mergeCells>
  <hyperlinks>
    <hyperlink ref="A1" location="Index!A1" display="&lt; Return to Index"/>
    <hyperlink ref="B28" r:id="rId1" display="Cost guidance in DEB Newsletter &gt;"/>
    <hyperlink ref="B30:C30" r:id="rId2" display="CR-1 Cost Calculation Guidance"/>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showRowColHeaders="0" zoomScale="40" zoomScaleNormal="40" zoomScaleSheetLayoutView="40" workbookViewId="0">
      <selection activeCell="AX40" sqref="AX40"/>
    </sheetView>
  </sheetViews>
  <sheetFormatPr defaultColWidth="9.109375" defaultRowHeight="13.2" x14ac:dyDescent="0.25"/>
  <cols>
    <col min="1" max="16384" width="9.109375" style="6"/>
  </cols>
  <sheetData>
    <row r="1" spans="1:7" s="176" customFormat="1" ht="48.75" customHeight="1" x14ac:dyDescent="0.25">
      <c r="A1" s="774" t="s">
        <v>1118</v>
      </c>
      <c r="B1" s="662"/>
      <c r="C1" s="662"/>
      <c r="D1" s="662"/>
      <c r="E1" s="662"/>
      <c r="F1" s="662"/>
      <c r="G1" s="662"/>
    </row>
    <row r="3" spans="1:7" ht="81" customHeight="1" x14ac:dyDescent="1">
      <c r="C3" s="121"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8" t="s">
        <v>894</v>
      </c>
    </row>
    <row r="2" spans="1:3" x14ac:dyDescent="0.25">
      <c r="A2" s="1" t="s">
        <v>895</v>
      </c>
      <c r="B2" s="9" t="s">
        <v>903</v>
      </c>
    </row>
    <row r="3" spans="1:3" x14ac:dyDescent="0.25">
      <c r="A3" s="1" t="s">
        <v>896</v>
      </c>
      <c r="B3" s="11" t="s">
        <v>904</v>
      </c>
    </row>
    <row r="4" spans="1:3" x14ac:dyDescent="0.25">
      <c r="A4" s="1" t="s">
        <v>897</v>
      </c>
      <c r="B4" s="11" t="s">
        <v>904</v>
      </c>
    </row>
    <row r="5" spans="1:3" x14ac:dyDescent="0.25">
      <c r="A5" s="1" t="s">
        <v>898</v>
      </c>
      <c r="B5" s="9" t="s">
        <v>903</v>
      </c>
    </row>
    <row r="6" spans="1:3" x14ac:dyDescent="0.25">
      <c r="A6" s="1" t="s">
        <v>899</v>
      </c>
      <c r="B6" s="9" t="s">
        <v>903</v>
      </c>
    </row>
    <row r="7" spans="1:3" x14ac:dyDescent="0.25">
      <c r="A7" s="1" t="s">
        <v>900</v>
      </c>
      <c r="B7" s="11" t="s">
        <v>904</v>
      </c>
    </row>
    <row r="8" spans="1:3" x14ac:dyDescent="0.25">
      <c r="A8" s="1" t="s">
        <v>901</v>
      </c>
      <c r="B8" s="9" t="s">
        <v>903</v>
      </c>
    </row>
    <row r="9" spans="1:3" x14ac:dyDescent="0.25">
      <c r="A9" s="1" t="s">
        <v>905</v>
      </c>
      <c r="B9" s="9" t="s">
        <v>903</v>
      </c>
    </row>
    <row r="10" spans="1:3" x14ac:dyDescent="0.25">
      <c r="A10" s="1" t="s">
        <v>909</v>
      </c>
      <c r="B10" s="9" t="s">
        <v>903</v>
      </c>
      <c r="C10" s="1" t="s">
        <v>910</v>
      </c>
    </row>
    <row r="11" spans="1:3" x14ac:dyDescent="0.25">
      <c r="A11" s="1" t="s">
        <v>892</v>
      </c>
      <c r="B11" s="10"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3" t="s">
        <v>6</v>
      </c>
    </row>
    <row r="2" spans="1:2" x14ac:dyDescent="0.25">
      <c r="A2" t="s">
        <v>14</v>
      </c>
      <c r="B2" s="4" t="s">
        <v>142</v>
      </c>
    </row>
    <row r="3" spans="1:2" x14ac:dyDescent="0.25">
      <c r="A3" t="s">
        <v>15</v>
      </c>
      <c r="B3" s="4" t="s">
        <v>143</v>
      </c>
    </row>
    <row r="4" spans="1:2" x14ac:dyDescent="0.25">
      <c r="A4" t="s">
        <v>16</v>
      </c>
      <c r="B4" s="4" t="s">
        <v>327</v>
      </c>
    </row>
    <row r="5" spans="1:2" x14ac:dyDescent="0.25">
      <c r="A5" t="s">
        <v>17</v>
      </c>
      <c r="B5" s="4" t="s">
        <v>144</v>
      </c>
    </row>
    <row r="6" spans="1:2" x14ac:dyDescent="0.25">
      <c r="A6" t="s">
        <v>18</v>
      </c>
      <c r="B6" s="4" t="s">
        <v>145</v>
      </c>
    </row>
    <row r="7" spans="1:2" x14ac:dyDescent="0.25">
      <c r="A7" t="s">
        <v>19</v>
      </c>
      <c r="B7" s="4" t="s">
        <v>146</v>
      </c>
    </row>
    <row r="8" spans="1:2" x14ac:dyDescent="0.25">
      <c r="A8" t="s">
        <v>20</v>
      </c>
      <c r="B8" s="4" t="s">
        <v>147</v>
      </c>
    </row>
    <row r="9" spans="1:2" x14ac:dyDescent="0.25">
      <c r="A9" t="s">
        <v>21</v>
      </c>
      <c r="B9" s="4" t="s">
        <v>148</v>
      </c>
    </row>
    <row r="10" spans="1:2" x14ac:dyDescent="0.25">
      <c r="A10" t="s">
        <v>22</v>
      </c>
      <c r="B10" s="4" t="s">
        <v>149</v>
      </c>
    </row>
    <row r="11" spans="1:2" x14ac:dyDescent="0.25">
      <c r="A11" t="s">
        <v>23</v>
      </c>
      <c r="B11" s="4" t="s">
        <v>150</v>
      </c>
    </row>
    <row r="12" spans="1:2" x14ac:dyDescent="0.25">
      <c r="A12" t="s">
        <v>24</v>
      </c>
      <c r="B12" s="4" t="s">
        <v>151</v>
      </c>
    </row>
    <row r="13" spans="1:2" x14ac:dyDescent="0.25">
      <c r="A13" t="s">
        <v>25</v>
      </c>
      <c r="B13" s="4" t="s">
        <v>152</v>
      </c>
    </row>
    <row r="14" spans="1:2" x14ac:dyDescent="0.25">
      <c r="A14" t="s">
        <v>26</v>
      </c>
      <c r="B14" s="4" t="s">
        <v>153</v>
      </c>
    </row>
    <row r="15" spans="1:2" x14ac:dyDescent="0.25">
      <c r="A15" t="s">
        <v>27</v>
      </c>
      <c r="B15" s="4" t="s">
        <v>154</v>
      </c>
    </row>
    <row r="16" spans="1:2" x14ac:dyDescent="0.25">
      <c r="A16" t="s">
        <v>28</v>
      </c>
      <c r="B16" s="4" t="s">
        <v>155</v>
      </c>
    </row>
    <row r="17" spans="1:2" x14ac:dyDescent="0.25">
      <c r="A17" t="s">
        <v>29</v>
      </c>
      <c r="B17" s="4" t="s">
        <v>156</v>
      </c>
    </row>
    <row r="18" spans="1:2" x14ac:dyDescent="0.25">
      <c r="A18" t="s">
        <v>30</v>
      </c>
      <c r="B18" s="4" t="s">
        <v>157</v>
      </c>
    </row>
    <row r="19" spans="1:2" x14ac:dyDescent="0.25">
      <c r="A19" t="s">
        <v>31</v>
      </c>
      <c r="B19" s="4" t="s">
        <v>158</v>
      </c>
    </row>
    <row r="20" spans="1:2" x14ac:dyDescent="0.25">
      <c r="A20" t="s">
        <v>32</v>
      </c>
      <c r="B20" s="4" t="s">
        <v>159</v>
      </c>
    </row>
    <row r="21" spans="1:2" x14ac:dyDescent="0.25">
      <c r="A21" t="s">
        <v>33</v>
      </c>
      <c r="B21" s="4" t="s">
        <v>160</v>
      </c>
    </row>
    <row r="22" spans="1:2" x14ac:dyDescent="0.25">
      <c r="A22" t="s">
        <v>34</v>
      </c>
      <c r="B22" s="4" t="s">
        <v>161</v>
      </c>
    </row>
    <row r="23" spans="1:2" x14ac:dyDescent="0.25">
      <c r="A23" t="s">
        <v>35</v>
      </c>
      <c r="B23" s="4" t="s">
        <v>162</v>
      </c>
    </row>
    <row r="24" spans="1:2" x14ac:dyDescent="0.25">
      <c r="A24" t="s">
        <v>36</v>
      </c>
      <c r="B24" s="4" t="s">
        <v>163</v>
      </c>
    </row>
    <row r="25" spans="1:2" x14ac:dyDescent="0.25">
      <c r="A25" t="s">
        <v>37</v>
      </c>
      <c r="B25" s="4" t="s">
        <v>164</v>
      </c>
    </row>
    <row r="26" spans="1:2" x14ac:dyDescent="0.25">
      <c r="A26" t="s">
        <v>38</v>
      </c>
      <c r="B26" s="4" t="s">
        <v>165</v>
      </c>
    </row>
    <row r="27" spans="1:2" x14ac:dyDescent="0.25">
      <c r="A27" t="s">
        <v>39</v>
      </c>
      <c r="B27" s="4" t="s">
        <v>322</v>
      </c>
    </row>
    <row r="28" spans="1:2" x14ac:dyDescent="0.25">
      <c r="A28" t="s">
        <v>40</v>
      </c>
      <c r="B28" s="4" t="s">
        <v>166</v>
      </c>
    </row>
    <row r="29" spans="1:2" x14ac:dyDescent="0.25">
      <c r="A29" t="s">
        <v>41</v>
      </c>
      <c r="B29" s="4" t="s">
        <v>167</v>
      </c>
    </row>
    <row r="30" spans="1:2" x14ac:dyDescent="0.25">
      <c r="A30" t="s">
        <v>42</v>
      </c>
      <c r="B30" s="4" t="s">
        <v>168</v>
      </c>
    </row>
    <row r="31" spans="1:2" x14ac:dyDescent="0.25">
      <c r="A31" t="s">
        <v>43</v>
      </c>
      <c r="B31" s="4" t="s">
        <v>321</v>
      </c>
    </row>
    <row r="32" spans="1:2" x14ac:dyDescent="0.25">
      <c r="A32" t="s">
        <v>44</v>
      </c>
      <c r="B32" s="4" t="s">
        <v>169</v>
      </c>
    </row>
    <row r="33" spans="1:2" x14ac:dyDescent="0.25">
      <c r="A33" t="s">
        <v>45</v>
      </c>
      <c r="B33" s="4" t="s">
        <v>170</v>
      </c>
    </row>
    <row r="34" spans="1:2" x14ac:dyDescent="0.25">
      <c r="A34" t="s">
        <v>46</v>
      </c>
      <c r="B34" s="4" t="s">
        <v>171</v>
      </c>
    </row>
    <row r="35" spans="1:2" x14ac:dyDescent="0.25">
      <c r="A35" t="s">
        <v>47</v>
      </c>
      <c r="B35" s="4" t="s">
        <v>172</v>
      </c>
    </row>
    <row r="36" spans="1:2" x14ac:dyDescent="0.25">
      <c r="A36" t="s">
        <v>48</v>
      </c>
      <c r="B36" s="4" t="s">
        <v>173</v>
      </c>
    </row>
    <row r="37" spans="1:2" x14ac:dyDescent="0.25">
      <c r="A37" t="s">
        <v>49</v>
      </c>
      <c r="B37" s="4" t="s">
        <v>174</v>
      </c>
    </row>
    <row r="38" spans="1:2" x14ac:dyDescent="0.25">
      <c r="A38" t="s">
        <v>50</v>
      </c>
      <c r="B38" s="4" t="s">
        <v>175</v>
      </c>
    </row>
    <row r="39" spans="1:2" x14ac:dyDescent="0.25">
      <c r="A39" t="s">
        <v>51</v>
      </c>
      <c r="B39" s="4" t="s">
        <v>176</v>
      </c>
    </row>
    <row r="40" spans="1:2" x14ac:dyDescent="0.25">
      <c r="A40" t="s">
        <v>52</v>
      </c>
      <c r="B40" s="4" t="s">
        <v>323</v>
      </c>
    </row>
    <row r="41" spans="1:2" x14ac:dyDescent="0.25">
      <c r="A41" t="s">
        <v>53</v>
      </c>
      <c r="B41" s="4" t="s">
        <v>177</v>
      </c>
    </row>
    <row r="42" spans="1:2" x14ac:dyDescent="0.25">
      <c r="A42" t="s">
        <v>54</v>
      </c>
      <c r="B42" s="4" t="s">
        <v>178</v>
      </c>
    </row>
    <row r="43" spans="1:2" x14ac:dyDescent="0.25">
      <c r="A43" t="s">
        <v>55</v>
      </c>
      <c r="B43" s="4" t="s">
        <v>179</v>
      </c>
    </row>
    <row r="44" spans="1:2" x14ac:dyDescent="0.25">
      <c r="A44" t="s">
        <v>56</v>
      </c>
      <c r="B44" s="4" t="s">
        <v>180</v>
      </c>
    </row>
    <row r="45" spans="1:2" x14ac:dyDescent="0.25">
      <c r="A45" t="s">
        <v>57</v>
      </c>
      <c r="B45" s="4" t="s">
        <v>181</v>
      </c>
    </row>
    <row r="46" spans="1:2" x14ac:dyDescent="0.25">
      <c r="A46" t="s">
        <v>58</v>
      </c>
      <c r="B46" s="4" t="s">
        <v>182</v>
      </c>
    </row>
    <row r="47" spans="1:2" x14ac:dyDescent="0.25">
      <c r="A47" t="s">
        <v>59</v>
      </c>
      <c r="B47" s="4" t="s">
        <v>183</v>
      </c>
    </row>
    <row r="48" spans="1:2" x14ac:dyDescent="0.25">
      <c r="A48" t="s">
        <v>60</v>
      </c>
      <c r="B48" s="4" t="s">
        <v>184</v>
      </c>
    </row>
    <row r="49" spans="1:2" x14ac:dyDescent="0.25">
      <c r="A49" t="s">
        <v>61</v>
      </c>
      <c r="B49" s="4" t="s">
        <v>185</v>
      </c>
    </row>
    <row r="50" spans="1:2" x14ac:dyDescent="0.25">
      <c r="A50" t="s">
        <v>62</v>
      </c>
      <c r="B50" s="4" t="s">
        <v>186</v>
      </c>
    </row>
    <row r="51" spans="1:2" x14ac:dyDescent="0.25">
      <c r="A51" t="s">
        <v>63</v>
      </c>
      <c r="B51" s="4" t="s">
        <v>187</v>
      </c>
    </row>
    <row r="52" spans="1:2" x14ac:dyDescent="0.25">
      <c r="A52" t="s">
        <v>64</v>
      </c>
      <c r="B52" s="4" t="s">
        <v>188</v>
      </c>
    </row>
    <row r="53" spans="1:2" x14ac:dyDescent="0.25">
      <c r="A53" t="s">
        <v>65</v>
      </c>
      <c r="B53" s="4" t="s">
        <v>189</v>
      </c>
    </row>
    <row r="54" spans="1:2" x14ac:dyDescent="0.25">
      <c r="A54" t="s">
        <v>66</v>
      </c>
      <c r="B54" s="4" t="s">
        <v>190</v>
      </c>
    </row>
    <row r="55" spans="1:2" x14ac:dyDescent="0.25">
      <c r="A55" t="s">
        <v>67</v>
      </c>
      <c r="B55" s="4" t="s">
        <v>191</v>
      </c>
    </row>
    <row r="56" spans="1:2" x14ac:dyDescent="0.25">
      <c r="A56" t="s">
        <v>68</v>
      </c>
      <c r="B56" s="4" t="s">
        <v>192</v>
      </c>
    </row>
    <row r="57" spans="1:2" x14ac:dyDescent="0.25">
      <c r="A57" t="s">
        <v>328</v>
      </c>
      <c r="B57" s="4" t="s">
        <v>193</v>
      </c>
    </row>
    <row r="58" spans="1:2" x14ac:dyDescent="0.25">
      <c r="A58" t="s">
        <v>69</v>
      </c>
      <c r="B58" s="4" t="s">
        <v>194</v>
      </c>
    </row>
    <row r="59" spans="1:2" x14ac:dyDescent="0.25">
      <c r="A59" t="s">
        <v>329</v>
      </c>
      <c r="B59" s="4" t="s">
        <v>195</v>
      </c>
    </row>
    <row r="60" spans="1:2" x14ac:dyDescent="0.25">
      <c r="A60" t="s">
        <v>70</v>
      </c>
      <c r="B60" s="4" t="s">
        <v>196</v>
      </c>
    </row>
    <row r="61" spans="1:2" x14ac:dyDescent="0.25">
      <c r="A61" t="s">
        <v>71</v>
      </c>
      <c r="B61" s="4" t="s">
        <v>197</v>
      </c>
    </row>
    <row r="62" spans="1:2" x14ac:dyDescent="0.25">
      <c r="A62" t="s">
        <v>72</v>
      </c>
      <c r="B62" s="4" t="s">
        <v>198</v>
      </c>
    </row>
    <row r="63" spans="1:2" x14ac:dyDescent="0.25">
      <c r="A63" t="s">
        <v>73</v>
      </c>
      <c r="B63" s="4" t="s">
        <v>199</v>
      </c>
    </row>
    <row r="64" spans="1:2" x14ac:dyDescent="0.25">
      <c r="A64" t="s">
        <v>74</v>
      </c>
      <c r="B64" s="4" t="s">
        <v>200</v>
      </c>
    </row>
    <row r="65" spans="1:2" x14ac:dyDescent="0.25">
      <c r="A65" t="s">
        <v>75</v>
      </c>
      <c r="B65" s="4" t="s">
        <v>201</v>
      </c>
    </row>
    <row r="66" spans="1:2" x14ac:dyDescent="0.25">
      <c r="A66" t="s">
        <v>76</v>
      </c>
      <c r="B66" s="4" t="s">
        <v>202</v>
      </c>
    </row>
    <row r="67" spans="1:2" x14ac:dyDescent="0.25">
      <c r="A67" t="s">
        <v>77</v>
      </c>
      <c r="B67" s="4" t="s">
        <v>203</v>
      </c>
    </row>
    <row r="68" spans="1:2" x14ac:dyDescent="0.25">
      <c r="A68" t="s">
        <v>78</v>
      </c>
      <c r="B68" s="4" t="s">
        <v>204</v>
      </c>
    </row>
    <row r="69" spans="1:2" x14ac:dyDescent="0.25">
      <c r="A69" t="s">
        <v>330</v>
      </c>
      <c r="B69" s="4" t="s">
        <v>205</v>
      </c>
    </row>
    <row r="70" spans="1:2" x14ac:dyDescent="0.25">
      <c r="A70" t="s">
        <v>79</v>
      </c>
      <c r="B70" s="4" t="s">
        <v>206</v>
      </c>
    </row>
    <row r="71" spans="1:2" x14ac:dyDescent="0.25">
      <c r="A71" t="s">
        <v>80</v>
      </c>
      <c r="B71" s="4" t="s">
        <v>207</v>
      </c>
    </row>
    <row r="72" spans="1:2" x14ac:dyDescent="0.25">
      <c r="A72" t="s">
        <v>81</v>
      </c>
      <c r="B72" s="4" t="s">
        <v>208</v>
      </c>
    </row>
    <row r="73" spans="1:2" x14ac:dyDescent="0.25">
      <c r="A73" t="s">
        <v>82</v>
      </c>
      <c r="B73" s="4" t="s">
        <v>209</v>
      </c>
    </row>
    <row r="74" spans="1:2" x14ac:dyDescent="0.25">
      <c r="A74" t="s">
        <v>83</v>
      </c>
      <c r="B74" s="4" t="s">
        <v>210</v>
      </c>
    </row>
    <row r="75" spans="1:2" x14ac:dyDescent="0.25">
      <c r="A75" t="s">
        <v>84</v>
      </c>
      <c r="B75" s="4" t="s">
        <v>211</v>
      </c>
    </row>
    <row r="76" spans="1:2" x14ac:dyDescent="0.25">
      <c r="A76" t="s">
        <v>85</v>
      </c>
      <c r="B76" s="4" t="s">
        <v>212</v>
      </c>
    </row>
    <row r="77" spans="1:2" x14ac:dyDescent="0.25">
      <c r="A77" t="s">
        <v>86</v>
      </c>
      <c r="B77" s="4" t="s">
        <v>213</v>
      </c>
    </row>
    <row r="78" spans="1:2" x14ac:dyDescent="0.25">
      <c r="A78" t="s">
        <v>87</v>
      </c>
      <c r="B78" s="4" t="s">
        <v>214</v>
      </c>
    </row>
    <row r="79" spans="1:2" x14ac:dyDescent="0.25">
      <c r="A79" t="s">
        <v>88</v>
      </c>
      <c r="B79" s="4" t="s">
        <v>215</v>
      </c>
    </row>
    <row r="80" spans="1:2" x14ac:dyDescent="0.25">
      <c r="A80" t="s">
        <v>89</v>
      </c>
      <c r="B80" s="4" t="s">
        <v>216</v>
      </c>
    </row>
    <row r="81" spans="1:2" x14ac:dyDescent="0.25">
      <c r="A81" t="s">
        <v>90</v>
      </c>
      <c r="B81" s="4" t="s">
        <v>217</v>
      </c>
    </row>
    <row r="82" spans="1:2" x14ac:dyDescent="0.25">
      <c r="A82" t="s">
        <v>91</v>
      </c>
      <c r="B82" s="4" t="s">
        <v>218</v>
      </c>
    </row>
    <row r="83" spans="1:2" x14ac:dyDescent="0.25">
      <c r="A83" t="s">
        <v>92</v>
      </c>
      <c r="B83" s="4" t="s">
        <v>219</v>
      </c>
    </row>
    <row r="84" spans="1:2" x14ac:dyDescent="0.25">
      <c r="A84" t="s">
        <v>93</v>
      </c>
      <c r="B84" s="4" t="s">
        <v>220</v>
      </c>
    </row>
    <row r="85" spans="1:2" x14ac:dyDescent="0.25">
      <c r="A85" t="s">
        <v>94</v>
      </c>
      <c r="B85" s="4" t="s">
        <v>221</v>
      </c>
    </row>
    <row r="86" spans="1:2" x14ac:dyDescent="0.25">
      <c r="A86" t="s">
        <v>95</v>
      </c>
      <c r="B86" s="4" t="s">
        <v>222</v>
      </c>
    </row>
    <row r="87" spans="1:2" x14ac:dyDescent="0.25">
      <c r="A87" t="s">
        <v>96</v>
      </c>
      <c r="B87" s="4" t="s">
        <v>223</v>
      </c>
    </row>
    <row r="88" spans="1:2" x14ac:dyDescent="0.25">
      <c r="A88" t="s">
        <v>331</v>
      </c>
      <c r="B88" s="4" t="s">
        <v>224</v>
      </c>
    </row>
    <row r="89" spans="1:2" x14ac:dyDescent="0.25">
      <c r="A89" t="s">
        <v>97</v>
      </c>
      <c r="B89" s="4" t="s">
        <v>225</v>
      </c>
    </row>
    <row r="90" spans="1:2" x14ac:dyDescent="0.25">
      <c r="A90" t="s">
        <v>98</v>
      </c>
      <c r="B90" s="4" t="s">
        <v>226</v>
      </c>
    </row>
    <row r="91" spans="1:2" x14ac:dyDescent="0.25">
      <c r="A91" t="s">
        <v>99</v>
      </c>
      <c r="B91" s="4" t="s">
        <v>227</v>
      </c>
    </row>
    <row r="92" spans="1:2" x14ac:dyDescent="0.25">
      <c r="A92" t="s">
        <v>100</v>
      </c>
      <c r="B92" s="4" t="s">
        <v>228</v>
      </c>
    </row>
    <row r="93" spans="1:2" x14ac:dyDescent="0.25">
      <c r="A93" t="s">
        <v>332</v>
      </c>
      <c r="B93" s="4" t="s">
        <v>324</v>
      </c>
    </row>
    <row r="94" spans="1:2" x14ac:dyDescent="0.25">
      <c r="A94" t="s">
        <v>101</v>
      </c>
      <c r="B94" s="4" t="s">
        <v>229</v>
      </c>
    </row>
    <row r="95" spans="1:2" x14ac:dyDescent="0.25">
      <c r="A95" t="s">
        <v>102</v>
      </c>
      <c r="B95" s="4" t="s">
        <v>230</v>
      </c>
    </row>
    <row r="96" spans="1:2" x14ac:dyDescent="0.25">
      <c r="A96" t="s">
        <v>103</v>
      </c>
      <c r="B96" s="4" t="s">
        <v>325</v>
      </c>
    </row>
    <row r="97" spans="1:2" x14ac:dyDescent="0.25">
      <c r="A97" t="s">
        <v>104</v>
      </c>
      <c r="B97" s="4" t="s">
        <v>231</v>
      </c>
    </row>
    <row r="98" spans="1:2" x14ac:dyDescent="0.25">
      <c r="A98" t="s">
        <v>105</v>
      </c>
      <c r="B98" s="4" t="s">
        <v>232</v>
      </c>
    </row>
    <row r="99" spans="1:2" x14ac:dyDescent="0.25">
      <c r="A99" t="s">
        <v>106</v>
      </c>
      <c r="B99" s="4" t="s">
        <v>233</v>
      </c>
    </row>
    <row r="100" spans="1:2" x14ac:dyDescent="0.25">
      <c r="A100" t="s">
        <v>107</v>
      </c>
      <c r="B100" s="4" t="s">
        <v>240</v>
      </c>
    </row>
    <row r="101" spans="1:2" x14ac:dyDescent="0.25">
      <c r="A101" t="s">
        <v>108</v>
      </c>
      <c r="B101" s="4" t="s">
        <v>241</v>
      </c>
    </row>
    <row r="102" spans="1:2" x14ac:dyDescent="0.25">
      <c r="A102" t="s">
        <v>109</v>
      </c>
      <c r="B102" s="4" t="s">
        <v>326</v>
      </c>
    </row>
    <row r="103" spans="1:2" x14ac:dyDescent="0.25">
      <c r="A103" t="s">
        <v>333</v>
      </c>
      <c r="B103" s="4" t="s">
        <v>242</v>
      </c>
    </row>
    <row r="104" spans="1:2" x14ac:dyDescent="0.25">
      <c r="A104" t="s">
        <v>110</v>
      </c>
      <c r="B104" s="4" t="s">
        <v>243</v>
      </c>
    </row>
    <row r="105" spans="1:2" x14ac:dyDescent="0.25">
      <c r="A105" t="s">
        <v>111</v>
      </c>
      <c r="B105" s="4" t="s">
        <v>244</v>
      </c>
    </row>
    <row r="106" spans="1:2" x14ac:dyDescent="0.25">
      <c r="A106" t="s">
        <v>112</v>
      </c>
      <c r="B106" s="4" t="s">
        <v>234</v>
      </c>
    </row>
    <row r="107" spans="1:2" x14ac:dyDescent="0.25">
      <c r="A107" t="s">
        <v>334</v>
      </c>
      <c r="B107" s="4" t="s">
        <v>235</v>
      </c>
    </row>
    <row r="108" spans="1:2" x14ac:dyDescent="0.25">
      <c r="A108" t="s">
        <v>113</v>
      </c>
      <c r="B108" s="4" t="s">
        <v>236</v>
      </c>
    </row>
    <row r="109" spans="1:2" x14ac:dyDescent="0.25">
      <c r="A109" t="s">
        <v>114</v>
      </c>
      <c r="B109" s="4" t="s">
        <v>237</v>
      </c>
    </row>
    <row r="110" spans="1:2" x14ac:dyDescent="0.25">
      <c r="A110" t="s">
        <v>115</v>
      </c>
      <c r="B110" s="4" t="s">
        <v>238</v>
      </c>
    </row>
    <row r="111" spans="1:2" x14ac:dyDescent="0.25">
      <c r="A111" t="s">
        <v>116</v>
      </c>
      <c r="B111" s="4" t="s">
        <v>239</v>
      </c>
    </row>
    <row r="112" spans="1:2" x14ac:dyDescent="0.25">
      <c r="A112" t="s">
        <v>117</v>
      </c>
      <c r="B112" s="4" t="s">
        <v>245</v>
      </c>
    </row>
    <row r="113" spans="1:2" x14ac:dyDescent="0.25">
      <c r="A113" t="s">
        <v>118</v>
      </c>
      <c r="B113" s="4" t="s">
        <v>246</v>
      </c>
    </row>
    <row r="114" spans="1:2" x14ac:dyDescent="0.25">
      <c r="A114" t="s">
        <v>119</v>
      </c>
      <c r="B114" s="4" t="s">
        <v>247</v>
      </c>
    </row>
    <row r="115" spans="1:2" x14ac:dyDescent="0.25">
      <c r="A115" t="s">
        <v>120</v>
      </c>
      <c r="B115" s="4" t="s">
        <v>248</v>
      </c>
    </row>
    <row r="116" spans="1:2" x14ac:dyDescent="0.25">
      <c r="A116" t="s">
        <v>121</v>
      </c>
      <c r="B116" s="4" t="s">
        <v>249</v>
      </c>
    </row>
    <row r="117" spans="1:2" x14ac:dyDescent="0.25">
      <c r="A117" t="s">
        <v>122</v>
      </c>
      <c r="B117" s="4" t="s">
        <v>250</v>
      </c>
    </row>
    <row r="118" spans="1:2" x14ac:dyDescent="0.25">
      <c r="A118" t="s">
        <v>123</v>
      </c>
      <c r="B118" s="4" t="s">
        <v>251</v>
      </c>
    </row>
    <row r="119" spans="1:2" x14ac:dyDescent="0.25">
      <c r="A119" t="s">
        <v>124</v>
      </c>
      <c r="B119" s="4" t="s">
        <v>252</v>
      </c>
    </row>
    <row r="120" spans="1:2" x14ac:dyDescent="0.25">
      <c r="A120" t="s">
        <v>335</v>
      </c>
      <c r="B120" s="4" t="s">
        <v>253</v>
      </c>
    </row>
    <row r="121" spans="1:2" x14ac:dyDescent="0.25">
      <c r="A121" t="s">
        <v>125</v>
      </c>
      <c r="B121" s="4" t="s">
        <v>254</v>
      </c>
    </row>
    <row r="122" spans="1:2" x14ac:dyDescent="0.25">
      <c r="A122" t="s">
        <v>126</v>
      </c>
      <c r="B122" s="4" t="s">
        <v>255</v>
      </c>
    </row>
    <row r="123" spans="1:2" x14ac:dyDescent="0.25">
      <c r="A123" t="s">
        <v>127</v>
      </c>
      <c r="B123" s="4" t="s">
        <v>256</v>
      </c>
    </row>
    <row r="124" spans="1:2" x14ac:dyDescent="0.25">
      <c r="A124" t="s">
        <v>128</v>
      </c>
      <c r="B124" s="4" t="s">
        <v>257</v>
      </c>
    </row>
    <row r="125" spans="1:2" x14ac:dyDescent="0.25">
      <c r="A125" t="s">
        <v>336</v>
      </c>
      <c r="B125" s="4" t="s">
        <v>258</v>
      </c>
    </row>
    <row r="126" spans="1:2" x14ac:dyDescent="0.25">
      <c r="A126" t="s">
        <v>129</v>
      </c>
      <c r="B126" s="4" t="s">
        <v>259</v>
      </c>
    </row>
    <row r="127" spans="1:2" x14ac:dyDescent="0.25">
      <c r="A127" t="s">
        <v>130</v>
      </c>
      <c r="B127" s="4" t="s">
        <v>260</v>
      </c>
    </row>
    <row r="128" spans="1:2" x14ac:dyDescent="0.25">
      <c r="A128" t="s">
        <v>131</v>
      </c>
      <c r="B128" s="4" t="s">
        <v>261</v>
      </c>
    </row>
    <row r="129" spans="1:2" x14ac:dyDescent="0.25">
      <c r="A129" t="s">
        <v>132</v>
      </c>
      <c r="B129" s="4" t="s">
        <v>262</v>
      </c>
    </row>
    <row r="130" spans="1:2" x14ac:dyDescent="0.25">
      <c r="A130" t="s">
        <v>133</v>
      </c>
      <c r="B130" s="4" t="s">
        <v>263</v>
      </c>
    </row>
    <row r="131" spans="1:2" x14ac:dyDescent="0.25">
      <c r="A131" t="s">
        <v>134</v>
      </c>
      <c r="B131" s="4" t="s">
        <v>264</v>
      </c>
    </row>
    <row r="132" spans="1:2" x14ac:dyDescent="0.25">
      <c r="A132" t="s">
        <v>135</v>
      </c>
      <c r="B132" s="4" t="s">
        <v>265</v>
      </c>
    </row>
    <row r="133" spans="1:2" x14ac:dyDescent="0.25">
      <c r="A133" t="s">
        <v>136</v>
      </c>
      <c r="B133" s="4" t="s">
        <v>266</v>
      </c>
    </row>
    <row r="134" spans="1:2" x14ac:dyDescent="0.25">
      <c r="A134" t="s">
        <v>137</v>
      </c>
      <c r="B134" s="4" t="s">
        <v>267</v>
      </c>
    </row>
    <row r="135" spans="1:2" x14ac:dyDescent="0.25">
      <c r="A135" t="s">
        <v>138</v>
      </c>
      <c r="B135" s="4" t="s">
        <v>268</v>
      </c>
    </row>
    <row r="136" spans="1:2" x14ac:dyDescent="0.25">
      <c r="A136" t="s">
        <v>139</v>
      </c>
      <c r="B136" s="4" t="s">
        <v>269</v>
      </c>
    </row>
    <row r="137" spans="1:2" x14ac:dyDescent="0.25">
      <c r="A137" t="s">
        <v>140</v>
      </c>
      <c r="B137" s="4" t="s">
        <v>270</v>
      </c>
    </row>
    <row r="138" spans="1:2" x14ac:dyDescent="0.25">
      <c r="A138" t="s">
        <v>141</v>
      </c>
      <c r="B138" s="4" t="s">
        <v>271</v>
      </c>
    </row>
    <row r="139" spans="1:2" x14ac:dyDescent="0.25">
      <c r="B139" s="4" t="s">
        <v>272</v>
      </c>
    </row>
    <row r="140" spans="1:2" x14ac:dyDescent="0.25">
      <c r="B140" s="4" t="s">
        <v>273</v>
      </c>
    </row>
    <row r="141" spans="1:2" x14ac:dyDescent="0.25">
      <c r="B141" s="4" t="s">
        <v>274</v>
      </c>
    </row>
    <row r="142" spans="1:2" x14ac:dyDescent="0.25">
      <c r="B142" s="4" t="s">
        <v>275</v>
      </c>
    </row>
    <row r="143" spans="1:2" x14ac:dyDescent="0.25">
      <c r="B143" s="4" t="s">
        <v>276</v>
      </c>
    </row>
    <row r="144" spans="1:2" x14ac:dyDescent="0.25">
      <c r="B144" s="4" t="s">
        <v>277</v>
      </c>
    </row>
    <row r="145" spans="2:2" x14ac:dyDescent="0.25">
      <c r="B145" s="4" t="s">
        <v>278</v>
      </c>
    </row>
    <row r="146" spans="2:2" x14ac:dyDescent="0.25">
      <c r="B146" s="4" t="s">
        <v>279</v>
      </c>
    </row>
    <row r="147" spans="2:2" x14ac:dyDescent="0.25">
      <c r="B147" s="4" t="s">
        <v>280</v>
      </c>
    </row>
    <row r="148" spans="2:2" x14ac:dyDescent="0.25">
      <c r="B148" s="4" t="s">
        <v>281</v>
      </c>
    </row>
    <row r="149" spans="2:2" x14ac:dyDescent="0.25">
      <c r="B149" s="4" t="s">
        <v>282</v>
      </c>
    </row>
    <row r="150" spans="2:2" x14ac:dyDescent="0.25">
      <c r="B150" s="4" t="s">
        <v>283</v>
      </c>
    </row>
    <row r="151" spans="2:2" x14ac:dyDescent="0.25">
      <c r="B151" s="4" t="s">
        <v>284</v>
      </c>
    </row>
    <row r="152" spans="2:2" x14ac:dyDescent="0.25">
      <c r="B152" s="4" t="s">
        <v>285</v>
      </c>
    </row>
    <row r="153" spans="2:2" x14ac:dyDescent="0.25">
      <c r="B153" s="4" t="s">
        <v>286</v>
      </c>
    </row>
    <row r="154" spans="2:2" x14ac:dyDescent="0.25">
      <c r="B154" s="4" t="s">
        <v>287</v>
      </c>
    </row>
    <row r="155" spans="2:2" x14ac:dyDescent="0.25">
      <c r="B155" s="4" t="s">
        <v>288</v>
      </c>
    </row>
    <row r="156" spans="2:2" x14ac:dyDescent="0.25">
      <c r="B156" s="4" t="s">
        <v>289</v>
      </c>
    </row>
    <row r="157" spans="2:2" x14ac:dyDescent="0.25">
      <c r="B157" s="4" t="s">
        <v>290</v>
      </c>
    </row>
    <row r="158" spans="2:2" x14ac:dyDescent="0.25">
      <c r="B158" s="4" t="s">
        <v>291</v>
      </c>
    </row>
    <row r="159" spans="2:2" x14ac:dyDescent="0.25">
      <c r="B159" s="4" t="s">
        <v>292</v>
      </c>
    </row>
    <row r="160" spans="2:2" x14ac:dyDescent="0.25">
      <c r="B160" s="4" t="s">
        <v>293</v>
      </c>
    </row>
    <row r="161" spans="2:2" x14ac:dyDescent="0.25">
      <c r="B161" s="4" t="s">
        <v>294</v>
      </c>
    </row>
    <row r="162" spans="2:2" x14ac:dyDescent="0.25">
      <c r="B162" s="4" t="s">
        <v>319</v>
      </c>
    </row>
    <row r="163" spans="2:2" x14ac:dyDescent="0.25">
      <c r="B163" s="4" t="s">
        <v>295</v>
      </c>
    </row>
    <row r="164" spans="2:2" x14ac:dyDescent="0.25">
      <c r="B164" s="4" t="s">
        <v>296</v>
      </c>
    </row>
    <row r="165" spans="2:2" x14ac:dyDescent="0.25">
      <c r="B165" s="4" t="s">
        <v>297</v>
      </c>
    </row>
    <row r="166" spans="2:2" x14ac:dyDescent="0.25">
      <c r="B166" s="4" t="s">
        <v>298</v>
      </c>
    </row>
    <row r="167" spans="2:2" x14ac:dyDescent="0.25">
      <c r="B167" s="4" t="s">
        <v>299</v>
      </c>
    </row>
    <row r="168" spans="2:2" x14ac:dyDescent="0.25">
      <c r="B168" s="4" t="s">
        <v>300</v>
      </c>
    </row>
    <row r="169" spans="2:2" x14ac:dyDescent="0.25">
      <c r="B169" s="4" t="s">
        <v>301</v>
      </c>
    </row>
    <row r="170" spans="2:2" x14ac:dyDescent="0.25">
      <c r="B170" s="4" t="s">
        <v>302</v>
      </c>
    </row>
    <row r="171" spans="2:2" x14ac:dyDescent="0.25">
      <c r="B171" s="4" t="s">
        <v>303</v>
      </c>
    </row>
    <row r="172" spans="2:2" x14ac:dyDescent="0.25">
      <c r="B172" s="4" t="s">
        <v>304</v>
      </c>
    </row>
    <row r="173" spans="2:2" x14ac:dyDescent="0.25">
      <c r="B173" s="4" t="s">
        <v>320</v>
      </c>
    </row>
    <row r="174" spans="2:2" x14ac:dyDescent="0.25">
      <c r="B174" s="4" t="s">
        <v>305</v>
      </c>
    </row>
    <row r="175" spans="2:2" x14ac:dyDescent="0.25">
      <c r="B175" s="4" t="s">
        <v>306</v>
      </c>
    </row>
    <row r="176" spans="2:2" x14ac:dyDescent="0.25">
      <c r="B176" s="4" t="s">
        <v>307</v>
      </c>
    </row>
    <row r="177" spans="2:2" x14ac:dyDescent="0.25">
      <c r="B177" s="4" t="s">
        <v>308</v>
      </c>
    </row>
    <row r="178" spans="2:2" x14ac:dyDescent="0.25">
      <c r="B178" s="4" t="s">
        <v>309</v>
      </c>
    </row>
    <row r="179" spans="2:2" x14ac:dyDescent="0.25">
      <c r="B179" s="4" t="s">
        <v>310</v>
      </c>
    </row>
    <row r="180" spans="2:2" x14ac:dyDescent="0.25">
      <c r="B180" s="4" t="s">
        <v>311</v>
      </c>
    </row>
    <row r="181" spans="2:2" x14ac:dyDescent="0.25">
      <c r="B181" s="4" t="s">
        <v>312</v>
      </c>
    </row>
    <row r="182" spans="2:2" x14ac:dyDescent="0.25">
      <c r="B182" s="4" t="s">
        <v>313</v>
      </c>
    </row>
    <row r="183" spans="2:2" x14ac:dyDescent="0.25">
      <c r="B183" s="4" t="s">
        <v>314</v>
      </c>
    </row>
    <row r="184" spans="2:2" x14ac:dyDescent="0.25">
      <c r="B184" s="4" t="s">
        <v>315</v>
      </c>
    </row>
    <row r="185" spans="2:2" x14ac:dyDescent="0.25">
      <c r="B185" s="4" t="s">
        <v>316</v>
      </c>
    </row>
    <row r="186" spans="2:2" x14ac:dyDescent="0.25">
      <c r="B186" s="4" t="s">
        <v>317</v>
      </c>
    </row>
    <row r="187" spans="2:2" x14ac:dyDescent="0.25">
      <c r="B187" s="4"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65"/>
  <sheetViews>
    <sheetView zoomScaleNormal="100" zoomScaleSheetLayoutView="100" workbookViewId="0">
      <pane ySplit="4" topLeftCell="A5" activePane="bottomLeft" state="frozen"/>
      <selection pane="bottomLeft" activeCell="I25" sqref="I25"/>
    </sheetView>
  </sheetViews>
  <sheetFormatPr defaultColWidth="9.109375" defaultRowHeight="15" customHeight="1" x14ac:dyDescent="0.25"/>
  <cols>
    <col min="1" max="1" width="6.44140625" style="442" customWidth="1"/>
    <col min="2" max="2" width="45.6640625" style="442" customWidth="1"/>
    <col min="3" max="4" width="26" style="442" customWidth="1"/>
    <col min="5" max="5" width="24.44140625" style="442" customWidth="1"/>
    <col min="6" max="6" width="4.6640625" style="442" customWidth="1"/>
    <col min="7" max="7" width="10.109375" style="390" bestFit="1" customWidth="1"/>
    <col min="8" max="8" width="7.109375" style="390" bestFit="1" customWidth="1"/>
    <col min="9" max="9" width="12.109375" style="390" customWidth="1"/>
    <col min="10" max="10" width="7.109375" style="390" bestFit="1" customWidth="1"/>
    <col min="11" max="11" width="10.109375" style="390" bestFit="1" customWidth="1"/>
    <col min="12" max="12" width="8.109375" style="390" bestFit="1" customWidth="1"/>
    <col min="13" max="26" width="9.109375" style="7" customWidth="1"/>
    <col min="27" max="27" width="14.6640625" style="7" hidden="1" customWidth="1"/>
    <col min="28" max="28" width="21.88671875" style="438" hidden="1" customWidth="1"/>
    <col min="29" max="29" width="17.77734375" style="442" customWidth="1"/>
    <col min="30" max="30" width="40.33203125" style="444" customWidth="1"/>
    <col min="31" max="31" width="31" style="442" customWidth="1"/>
    <col min="32" max="16384" width="9.109375" style="442"/>
  </cols>
  <sheetData>
    <row r="1" spans="1:30" s="177" customFormat="1" ht="21.9" customHeight="1" x14ac:dyDescent="0.25">
      <c r="A1" s="639" t="s">
        <v>1118</v>
      </c>
      <c r="B1" s="640"/>
      <c r="G1" s="465"/>
      <c r="H1" s="465"/>
      <c r="I1" s="465"/>
      <c r="J1" s="465"/>
      <c r="K1" s="465"/>
      <c r="L1" s="465"/>
      <c r="M1" s="186"/>
      <c r="N1" s="186"/>
      <c r="O1" s="186"/>
      <c r="P1" s="186"/>
      <c r="Q1" s="186"/>
      <c r="R1" s="186"/>
      <c r="S1" s="186"/>
      <c r="T1" s="186"/>
      <c r="U1" s="186"/>
      <c r="V1" s="186"/>
      <c r="W1" s="186"/>
      <c r="X1" s="186"/>
      <c r="Y1" s="186"/>
      <c r="Z1" s="186"/>
      <c r="AA1" s="466">
        <f>SUM(C44-C53)/365</f>
        <v>1</v>
      </c>
      <c r="AB1" s="463" t="str">
        <f>B45</f>
        <v>Start of construction</v>
      </c>
    </row>
    <row r="2" spans="1:30" ht="27.75" customHeight="1" x14ac:dyDescent="0.25">
      <c r="A2" s="139" t="s">
        <v>911</v>
      </c>
      <c r="E2" s="135" t="s">
        <v>1098</v>
      </c>
      <c r="AA2" s="466">
        <f>SUM(C46-C53)/365</f>
        <v>4.0027397260273974</v>
      </c>
      <c r="AB2" s="464" t="str">
        <f>B46</f>
        <v>Mid-Point of Construction</v>
      </c>
      <c r="AD2" s="446"/>
    </row>
    <row r="3" spans="1:30" ht="15" customHeight="1" x14ac:dyDescent="0.25">
      <c r="A3" s="641">
        <v>44777</v>
      </c>
      <c r="B3" s="642"/>
      <c r="AA3" s="466">
        <f>AA1+1</f>
        <v>2</v>
      </c>
      <c r="AB3" s="464" t="s">
        <v>1210</v>
      </c>
      <c r="AD3" s="446"/>
    </row>
    <row r="4" spans="1:30" ht="15" customHeight="1" thickBot="1" x14ac:dyDescent="0.35">
      <c r="A4" s="140"/>
      <c r="B4" s="643" t="s">
        <v>1207</v>
      </c>
      <c r="C4" s="643"/>
      <c r="D4" s="643"/>
      <c r="E4" s="643"/>
      <c r="AA4" s="466">
        <f>SUM(C47-C53)/365</f>
        <v>5.0027397260273974</v>
      </c>
      <c r="AB4" s="464" t="str">
        <f>B47</f>
        <v>End of Construction</v>
      </c>
      <c r="AD4" s="446"/>
    </row>
    <row r="5" spans="1:30" ht="15" customHeight="1" thickTop="1" x14ac:dyDescent="0.25"/>
    <row r="6" spans="1:30" ht="15" customHeight="1" x14ac:dyDescent="0.25">
      <c r="A6" s="430" t="s">
        <v>1202</v>
      </c>
      <c r="B6" s="644" t="s">
        <v>941</v>
      </c>
      <c r="C6" s="644"/>
      <c r="D6" s="644"/>
      <c r="E6" s="645"/>
      <c r="AA6" s="467" t="s">
        <v>978</v>
      </c>
    </row>
    <row r="7" spans="1:30" ht="15" customHeight="1" x14ac:dyDescent="0.25">
      <c r="A7" s="432"/>
      <c r="B7" s="114" t="s">
        <v>937</v>
      </c>
      <c r="C7" s="637" t="s">
        <v>1253</v>
      </c>
      <c r="D7" s="637"/>
      <c r="E7" s="638"/>
      <c r="AA7" s="467" t="s">
        <v>979</v>
      </c>
    </row>
    <row r="8" spans="1:30" ht="15" customHeight="1" x14ac:dyDescent="0.25">
      <c r="A8" s="432"/>
      <c r="B8" s="114" t="s">
        <v>923</v>
      </c>
      <c r="C8" s="637" t="s">
        <v>1254</v>
      </c>
      <c r="D8" s="637"/>
      <c r="E8" s="638"/>
      <c r="AA8" s="467" t="s">
        <v>980</v>
      </c>
    </row>
    <row r="9" spans="1:30" ht="15" customHeight="1" x14ac:dyDescent="0.25">
      <c r="A9" s="432"/>
      <c r="B9" s="114" t="s">
        <v>924</v>
      </c>
      <c r="C9" s="646">
        <v>12345</v>
      </c>
      <c r="D9" s="646"/>
      <c r="E9" s="647"/>
      <c r="AA9" s="467" t="s">
        <v>981</v>
      </c>
    </row>
    <row r="10" spans="1:30" ht="15" customHeight="1" x14ac:dyDescent="0.25">
      <c r="A10" s="432"/>
      <c r="B10" s="114" t="s">
        <v>925</v>
      </c>
      <c r="C10" s="648" t="s">
        <v>164</v>
      </c>
      <c r="D10" s="649"/>
      <c r="E10" s="439"/>
      <c r="AA10" s="467" t="s">
        <v>146</v>
      </c>
    </row>
    <row r="11" spans="1:30" ht="15" customHeight="1" x14ac:dyDescent="0.25">
      <c r="A11" s="432"/>
      <c r="B11" s="114" t="s">
        <v>926</v>
      </c>
      <c r="C11" s="650" t="s">
        <v>1255</v>
      </c>
      <c r="D11" s="651"/>
      <c r="E11" s="652"/>
      <c r="AA11" s="467" t="s">
        <v>147</v>
      </c>
    </row>
    <row r="12" spans="1:30" ht="15" customHeight="1" x14ac:dyDescent="0.25">
      <c r="A12" s="432"/>
      <c r="B12" s="128" t="s">
        <v>927</v>
      </c>
      <c r="C12" s="648" t="s">
        <v>972</v>
      </c>
      <c r="D12" s="649"/>
      <c r="E12" s="439"/>
      <c r="AA12" s="467" t="s">
        <v>982</v>
      </c>
    </row>
    <row r="13" spans="1:30" ht="15" customHeight="1" x14ac:dyDescent="0.25">
      <c r="A13" s="432"/>
      <c r="B13" s="128" t="s">
        <v>928</v>
      </c>
      <c r="C13" s="653"/>
      <c r="D13" s="654"/>
      <c r="E13" s="654"/>
      <c r="AA13" s="467" t="s">
        <v>149</v>
      </c>
    </row>
    <row r="14" spans="1:30" ht="15" customHeight="1" x14ac:dyDescent="0.25">
      <c r="A14" s="432"/>
      <c r="B14" s="128" t="s">
        <v>929</v>
      </c>
      <c r="C14" s="655" t="s">
        <v>656</v>
      </c>
      <c r="D14" s="655"/>
      <c r="E14" s="638"/>
      <c r="AA14" s="467" t="s">
        <v>983</v>
      </c>
    </row>
    <row r="15" spans="1:30" ht="15" customHeight="1" x14ac:dyDescent="0.25">
      <c r="A15" s="432"/>
      <c r="B15" s="128" t="s">
        <v>930</v>
      </c>
      <c r="C15" s="637" t="s">
        <v>1256</v>
      </c>
      <c r="D15" s="637"/>
      <c r="E15" s="638"/>
      <c r="AA15" s="467" t="s">
        <v>984</v>
      </c>
    </row>
    <row r="16" spans="1:30" ht="15" customHeight="1" x14ac:dyDescent="0.25">
      <c r="A16" s="432"/>
      <c r="B16" s="128" t="s">
        <v>931</v>
      </c>
      <c r="C16" s="653"/>
      <c r="D16" s="654"/>
      <c r="E16" s="654"/>
      <c r="AA16" s="468" t="s">
        <v>985</v>
      </c>
    </row>
    <row r="17" spans="1:30" ht="15" customHeight="1" x14ac:dyDescent="0.25">
      <c r="A17" s="432"/>
      <c r="B17" s="128" t="s">
        <v>932</v>
      </c>
      <c r="C17" s="648" t="s">
        <v>969</v>
      </c>
      <c r="D17" s="649"/>
      <c r="E17" s="439"/>
      <c r="AA17" s="468" t="s">
        <v>986</v>
      </c>
    </row>
    <row r="18" spans="1:30" ht="15" customHeight="1" x14ac:dyDescent="0.25">
      <c r="A18" s="432"/>
      <c r="B18" s="128" t="s">
        <v>933</v>
      </c>
      <c r="C18" s="648" t="s">
        <v>969</v>
      </c>
      <c r="D18" s="649"/>
      <c r="E18" s="439"/>
      <c r="AA18" s="468" t="s">
        <v>987</v>
      </c>
    </row>
    <row r="19" spans="1:30" ht="15" customHeight="1" x14ac:dyDescent="0.25">
      <c r="A19" s="432"/>
      <c r="B19" s="128" t="s">
        <v>934</v>
      </c>
      <c r="C19" s="648" t="s">
        <v>969</v>
      </c>
      <c r="D19" s="649"/>
      <c r="E19" s="439"/>
      <c r="AA19" s="468" t="s">
        <v>988</v>
      </c>
    </row>
    <row r="20" spans="1:30" ht="15" customHeight="1" x14ac:dyDescent="0.25">
      <c r="A20" s="432"/>
      <c r="B20" s="114" t="s">
        <v>935</v>
      </c>
      <c r="C20" s="637"/>
      <c r="D20" s="637"/>
      <c r="E20" s="638"/>
      <c r="AA20" s="468" t="s">
        <v>989</v>
      </c>
    </row>
    <row r="21" spans="1:30" ht="33" customHeight="1" x14ac:dyDescent="0.25">
      <c r="A21" s="432"/>
      <c r="D21" s="361" t="s">
        <v>1188</v>
      </c>
      <c r="AA21" s="468" t="s">
        <v>989</v>
      </c>
    </row>
    <row r="22" spans="1:30" ht="22.05" customHeight="1" x14ac:dyDescent="0.25">
      <c r="A22" s="432"/>
      <c r="B22" s="441" t="s">
        <v>2</v>
      </c>
      <c r="C22" s="441" t="s">
        <v>964</v>
      </c>
      <c r="D22" s="358" t="s">
        <v>965</v>
      </c>
      <c r="E22" s="441" t="s">
        <v>337</v>
      </c>
      <c r="AA22" s="468" t="s">
        <v>990</v>
      </c>
      <c r="AB22" s="442"/>
      <c r="AD22" s="442"/>
    </row>
    <row r="23" spans="1:30" ht="15" customHeight="1" x14ac:dyDescent="0.25">
      <c r="A23" s="432">
        <v>1</v>
      </c>
      <c r="B23" s="126" t="s">
        <v>938</v>
      </c>
      <c r="C23" s="124">
        <f>Budget!F8</f>
        <v>1000000</v>
      </c>
      <c r="D23" s="359">
        <f>C23</f>
        <v>1000000</v>
      </c>
      <c r="E23" s="429"/>
      <c r="AA23" s="468" t="s">
        <v>991</v>
      </c>
      <c r="AB23" s="442"/>
      <c r="AD23" s="442"/>
    </row>
    <row r="24" spans="1:30" ht="15" customHeight="1" x14ac:dyDescent="0.25">
      <c r="A24" s="432">
        <v>2</v>
      </c>
      <c r="B24" s="114" t="s">
        <v>3</v>
      </c>
      <c r="C24" s="115">
        <f>Budget!F12</f>
        <v>37990086.049609505</v>
      </c>
      <c r="D24" s="454">
        <f>Escalation!J16</f>
        <v>57868496.466710746</v>
      </c>
      <c r="E24" s="496"/>
      <c r="AA24" s="468" t="s">
        <v>163</v>
      </c>
      <c r="AB24" s="442"/>
      <c r="AD24" s="442"/>
    </row>
    <row r="25" spans="1:30" ht="15" customHeight="1" x14ac:dyDescent="0.25">
      <c r="A25" s="432">
        <v>3</v>
      </c>
      <c r="B25" s="114" t="s">
        <v>350</v>
      </c>
      <c r="C25" s="115">
        <f>Budget!F29</f>
        <v>3919378.1332233679</v>
      </c>
      <c r="D25" s="454">
        <f>Escalation!J18</f>
        <v>4981104.9778331332</v>
      </c>
      <c r="E25" s="440"/>
      <c r="AA25" s="468" t="s">
        <v>164</v>
      </c>
      <c r="AB25" s="442"/>
      <c r="AD25" s="442"/>
    </row>
    <row r="26" spans="1:30" ht="15" customHeight="1" x14ac:dyDescent="0.25">
      <c r="A26" s="432">
        <v>3</v>
      </c>
      <c r="B26" s="114" t="s">
        <v>351</v>
      </c>
      <c r="C26" s="115">
        <f>Budget!F34</f>
        <v>104129.1224004813</v>
      </c>
      <c r="D26" s="454">
        <f>Escalation!J20</f>
        <v>132336.83311384471</v>
      </c>
      <c r="E26" s="440"/>
      <c r="AA26" s="468" t="s">
        <v>992</v>
      </c>
      <c r="AB26" s="442"/>
      <c r="AD26" s="442"/>
    </row>
    <row r="27" spans="1:30" ht="15" customHeight="1" x14ac:dyDescent="0.25">
      <c r="A27" s="432">
        <v>3</v>
      </c>
      <c r="B27" s="114" t="s">
        <v>939</v>
      </c>
      <c r="C27" s="115">
        <f>Budget!F55</f>
        <v>2034426.4105872959</v>
      </c>
      <c r="D27" s="454">
        <f>Escalation!J22</f>
        <v>2585535.5559881744</v>
      </c>
      <c r="E27" s="440"/>
      <c r="AA27" s="468" t="s">
        <v>993</v>
      </c>
      <c r="AB27" s="442"/>
      <c r="AD27" s="442"/>
    </row>
    <row r="28" spans="1:30" ht="15" customHeight="1" x14ac:dyDescent="0.25">
      <c r="A28" s="432">
        <v>4</v>
      </c>
      <c r="B28" s="114" t="s">
        <v>917</v>
      </c>
      <c r="C28" s="115">
        <f>Budget!F62</f>
        <v>311372.02488277445</v>
      </c>
      <c r="D28" s="454">
        <f>Escalation!J28</f>
        <v>505601.92302578618</v>
      </c>
      <c r="E28" s="440"/>
      <c r="G28" s="469"/>
      <c r="AA28" s="468" t="s">
        <v>994</v>
      </c>
      <c r="AB28" s="452"/>
      <c r="AD28" s="442"/>
    </row>
    <row r="29" spans="1:30" ht="15" customHeight="1" thickBot="1" x14ac:dyDescent="0.3">
      <c r="A29" s="432">
        <v>2</v>
      </c>
      <c r="B29" s="114" t="s">
        <v>4</v>
      </c>
      <c r="C29" s="478">
        <f>Budget!F65</f>
        <v>1063973.4972746838</v>
      </c>
      <c r="D29" s="455">
        <f>Escalation!J34</f>
        <v>1620700.3713366634</v>
      </c>
      <c r="E29" s="543"/>
      <c r="AA29" s="468" t="s">
        <v>995</v>
      </c>
      <c r="AB29" s="442"/>
      <c r="AD29" s="442"/>
    </row>
    <row r="30" spans="1:30" ht="15" customHeight="1" x14ac:dyDescent="0.25">
      <c r="A30" s="432"/>
      <c r="B30" s="443" t="s">
        <v>940</v>
      </c>
      <c r="C30" s="433">
        <f>SUM(C23:C29)</f>
        <v>46423365.237978108</v>
      </c>
      <c r="D30" s="434">
        <f>D23+D24+D25+D26+D27+D28+D29</f>
        <v>68693776.128008351</v>
      </c>
      <c r="E30" s="496"/>
      <c r="G30" s="470"/>
      <c r="AA30" s="468" t="s">
        <v>996</v>
      </c>
      <c r="AB30" s="442"/>
      <c r="AD30" s="442"/>
    </row>
    <row r="31" spans="1:30" ht="15" customHeight="1" x14ac:dyDescent="0.25">
      <c r="A31" s="432"/>
      <c r="AA31" s="468" t="s">
        <v>997</v>
      </c>
      <c r="AB31" s="442"/>
      <c r="AD31" s="442"/>
    </row>
    <row r="32" spans="1:30" ht="15" customHeight="1" x14ac:dyDescent="0.25">
      <c r="A32" s="432"/>
      <c r="B32" s="441" t="s">
        <v>1213</v>
      </c>
      <c r="C32" s="441" t="s">
        <v>1</v>
      </c>
      <c r="D32" s="441" t="s">
        <v>337</v>
      </c>
      <c r="AA32" s="468" t="s">
        <v>998</v>
      </c>
      <c r="AB32" s="442"/>
      <c r="AD32" s="442"/>
    </row>
    <row r="33" spans="1:30" ht="15" customHeight="1" x14ac:dyDescent="0.25">
      <c r="A33" s="432" t="s">
        <v>1225</v>
      </c>
      <c r="B33" s="128" t="s">
        <v>1230</v>
      </c>
      <c r="C33" s="115">
        <f>'DP Est'!G48</f>
        <v>2513657.2778603649</v>
      </c>
      <c r="D33" s="360">
        <f>Escalation!J36</f>
        <v>2902289.7143071522</v>
      </c>
      <c r="E33" s="440"/>
      <c r="AA33" s="468" t="s">
        <v>999</v>
      </c>
      <c r="AB33" s="442"/>
      <c r="AD33" s="442"/>
    </row>
    <row r="34" spans="1:30" s="446" customFormat="1" ht="15" customHeight="1" x14ac:dyDescent="0.25">
      <c r="A34" s="432" t="s">
        <v>1225</v>
      </c>
      <c r="B34" s="451" t="s">
        <v>1211</v>
      </c>
      <c r="C34" s="125">
        <f>C35-C33</f>
        <v>1887495.016485828</v>
      </c>
      <c r="D34" s="360">
        <f>IF(D33="","",D35-D33)</f>
        <v>2691098.0264005787</v>
      </c>
      <c r="E34" s="445"/>
      <c r="G34" s="390"/>
      <c r="H34" s="390"/>
      <c r="I34" s="390"/>
      <c r="J34" s="390"/>
      <c r="K34" s="390"/>
      <c r="L34" s="390"/>
      <c r="M34" s="7"/>
      <c r="N34" s="7"/>
      <c r="O34" s="7"/>
      <c r="P34" s="7"/>
      <c r="Q34" s="7"/>
      <c r="R34" s="7"/>
      <c r="S34" s="7"/>
      <c r="T34" s="7"/>
      <c r="U34" s="7"/>
      <c r="V34" s="7"/>
      <c r="W34" s="7"/>
      <c r="X34" s="7"/>
      <c r="Y34" s="7"/>
      <c r="Z34" s="7"/>
      <c r="AA34" s="468" t="s">
        <v>1000</v>
      </c>
    </row>
    <row r="35" spans="1:30" ht="15" customHeight="1" x14ac:dyDescent="0.25">
      <c r="A35" s="432" t="s">
        <v>1225</v>
      </c>
      <c r="B35" s="449" t="s">
        <v>1212</v>
      </c>
      <c r="C35" s="450">
        <f>'DP Est'!I48</f>
        <v>4401152.2943461929</v>
      </c>
      <c r="D35" s="448">
        <f>Escalation!J38</f>
        <v>5593387.7407077309</v>
      </c>
      <c r="E35" s="440"/>
      <c r="AA35" s="467" t="s">
        <v>1001</v>
      </c>
      <c r="AB35" s="442"/>
      <c r="AD35" s="442"/>
    </row>
    <row r="36" spans="1:30" ht="15" customHeight="1" x14ac:dyDescent="0.25">
      <c r="A36" s="432"/>
      <c r="D36" s="447"/>
      <c r="AA36" s="467" t="s">
        <v>175</v>
      </c>
    </row>
    <row r="37" spans="1:30" ht="15" customHeight="1" x14ac:dyDescent="0.25">
      <c r="A37" s="432"/>
      <c r="B37" s="441" t="s">
        <v>944</v>
      </c>
      <c r="C37" s="441" t="s">
        <v>1</v>
      </c>
      <c r="D37" s="441" t="s">
        <v>337</v>
      </c>
      <c r="AA37" s="467" t="s">
        <v>1002</v>
      </c>
    </row>
    <row r="38" spans="1:30" ht="15" customHeight="1" x14ac:dyDescent="0.25">
      <c r="A38" s="432"/>
      <c r="B38" s="295" t="s">
        <v>1153</v>
      </c>
      <c r="C38" s="292">
        <f>Blender!D8+Blender!D10+Blender!D12</f>
        <v>198492.42424242425</v>
      </c>
      <c r="D38" s="658"/>
      <c r="E38" s="657"/>
      <c r="G38" s="469" t="s">
        <v>1159</v>
      </c>
      <c r="H38" s="471">
        <f>'Type 1 Prog'!E5</f>
        <v>40257.575757575753</v>
      </c>
      <c r="I38" s="469" t="s">
        <v>1160</v>
      </c>
      <c r="J38" s="471">
        <f>'Type 2 Prog'!E5</f>
        <v>24901.515151515152</v>
      </c>
      <c r="K38" s="469" t="s">
        <v>1161</v>
      </c>
      <c r="L38" s="471">
        <f>'Type 3 Prog'!E5</f>
        <v>133333.33333333334</v>
      </c>
      <c r="AA38" s="467" t="s">
        <v>1003</v>
      </c>
    </row>
    <row r="39" spans="1:30" ht="15" customHeight="1" x14ac:dyDescent="0.25">
      <c r="A39" s="432"/>
      <c r="B39" s="114" t="s">
        <v>907</v>
      </c>
      <c r="C39" s="492"/>
      <c r="D39" s="656"/>
      <c r="E39" s="657"/>
      <c r="AA39" s="467" t="s">
        <v>177</v>
      </c>
    </row>
    <row r="40" spans="1:30" ht="15" customHeight="1" x14ac:dyDescent="0.25">
      <c r="A40" s="432"/>
      <c r="B40" s="114" t="s">
        <v>908</v>
      </c>
      <c r="C40" s="492"/>
      <c r="D40" s="658"/>
      <c r="E40" s="657"/>
      <c r="AA40" s="467" t="s">
        <v>1004</v>
      </c>
    </row>
    <row r="41" spans="1:30" ht="15" customHeight="1" x14ac:dyDescent="0.25">
      <c r="A41" s="432"/>
      <c r="B41" s="114" t="s">
        <v>945</v>
      </c>
      <c r="C41" s="440">
        <v>2</v>
      </c>
      <c r="D41" s="656"/>
      <c r="E41" s="657"/>
      <c r="AA41" s="467" t="s">
        <v>179</v>
      </c>
    </row>
    <row r="42" spans="1:30" ht="15" customHeight="1" x14ac:dyDescent="0.25">
      <c r="A42" s="432"/>
      <c r="AA42" s="467" t="s">
        <v>180</v>
      </c>
    </row>
    <row r="43" spans="1:30" ht="15" customHeight="1" x14ac:dyDescent="0.25">
      <c r="A43" s="432"/>
      <c r="B43" s="441" t="s">
        <v>942</v>
      </c>
      <c r="C43" s="441" t="s">
        <v>943</v>
      </c>
      <c r="D43" s="441" t="s">
        <v>337</v>
      </c>
      <c r="AA43" s="467" t="s">
        <v>1005</v>
      </c>
    </row>
    <row r="44" spans="1:30" ht="15" customHeight="1" x14ac:dyDescent="0.25">
      <c r="A44" s="432"/>
      <c r="B44" s="114" t="s">
        <v>936</v>
      </c>
      <c r="C44" s="123">
        <v>45200</v>
      </c>
      <c r="D44" s="656"/>
      <c r="E44" s="657"/>
      <c r="AA44" s="467" t="s">
        <v>182</v>
      </c>
    </row>
    <row r="45" spans="1:30" ht="15" customHeight="1" x14ac:dyDescent="0.25">
      <c r="A45" s="432"/>
      <c r="B45" s="114" t="s">
        <v>679</v>
      </c>
      <c r="C45" s="123">
        <v>45931</v>
      </c>
      <c r="D45" s="656"/>
      <c r="E45" s="657"/>
      <c r="AA45" s="467" t="s">
        <v>183</v>
      </c>
    </row>
    <row r="46" spans="1:30" ht="15" customHeight="1" x14ac:dyDescent="0.25">
      <c r="A46" s="432"/>
      <c r="B46" s="114" t="s">
        <v>963</v>
      </c>
      <c r="C46" s="122">
        <f>(C45+C47)/2</f>
        <v>46296</v>
      </c>
      <c r="D46" s="656"/>
      <c r="E46" s="657"/>
      <c r="AA46" s="467" t="s">
        <v>1006</v>
      </c>
    </row>
    <row r="47" spans="1:30" ht="15" customHeight="1" x14ac:dyDescent="0.25">
      <c r="A47" s="432"/>
      <c r="B47" s="114" t="s">
        <v>1224</v>
      </c>
      <c r="C47" s="123">
        <v>46661</v>
      </c>
      <c r="D47" s="656"/>
      <c r="E47" s="657"/>
      <c r="AA47" s="467" t="s">
        <v>185</v>
      </c>
    </row>
    <row r="48" spans="1:30" ht="15" customHeight="1" x14ac:dyDescent="0.25">
      <c r="A48" s="432"/>
      <c r="B48" s="128" t="s">
        <v>968</v>
      </c>
      <c r="C48" s="398">
        <v>6.6000000000000003E-2</v>
      </c>
      <c r="D48" s="656"/>
      <c r="E48" s="657"/>
      <c r="AA48" s="467" t="s">
        <v>198</v>
      </c>
    </row>
    <row r="49" spans="1:30" ht="15" customHeight="1" x14ac:dyDescent="0.25">
      <c r="A49" s="432"/>
      <c r="B49" s="128" t="s">
        <v>1232</v>
      </c>
      <c r="C49" s="398">
        <v>0.09</v>
      </c>
      <c r="D49" s="656"/>
      <c r="E49" s="657"/>
      <c r="AA49" s="467" t="s">
        <v>186</v>
      </c>
    </row>
    <row r="50" spans="1:30" ht="15" customHeight="1" x14ac:dyDescent="0.25">
      <c r="A50" s="432"/>
      <c r="B50" s="128" t="s">
        <v>1324</v>
      </c>
      <c r="C50" s="398">
        <v>0.04</v>
      </c>
      <c r="D50" s="656"/>
      <c r="E50" s="657"/>
      <c r="AA50" s="467" t="s">
        <v>187</v>
      </c>
    </row>
    <row r="51" spans="1:30" s="573" customFormat="1" ht="15" customHeight="1" x14ac:dyDescent="0.25">
      <c r="A51" s="432"/>
      <c r="B51" s="128" t="s">
        <v>1325</v>
      </c>
      <c r="C51" s="398">
        <v>0</v>
      </c>
      <c r="D51" s="656"/>
      <c r="E51" s="657"/>
      <c r="G51" s="390"/>
      <c r="H51" s="390"/>
      <c r="I51" s="390"/>
      <c r="J51" s="390"/>
      <c r="K51" s="390"/>
      <c r="L51" s="390"/>
      <c r="M51" s="7"/>
      <c r="N51" s="7"/>
      <c r="O51" s="7"/>
      <c r="P51" s="7"/>
      <c r="Q51" s="7"/>
      <c r="R51" s="7"/>
      <c r="S51" s="7"/>
      <c r="T51" s="7"/>
      <c r="U51" s="7"/>
      <c r="V51" s="7"/>
      <c r="W51" s="7"/>
      <c r="X51" s="7"/>
      <c r="Y51" s="7"/>
      <c r="Z51" s="7"/>
      <c r="AA51" s="467" t="s">
        <v>187</v>
      </c>
      <c r="AB51" s="574"/>
      <c r="AD51" s="574"/>
    </row>
    <row r="52" spans="1:30" ht="15" customHeight="1" x14ac:dyDescent="0.25">
      <c r="A52" s="432"/>
      <c r="B52" s="114" t="s">
        <v>1195</v>
      </c>
      <c r="C52" s="398">
        <f>SUM(C48:C49)</f>
        <v>0.156</v>
      </c>
      <c r="D52" s="656"/>
      <c r="E52" s="657"/>
      <c r="AA52" s="467" t="s">
        <v>1007</v>
      </c>
    </row>
    <row r="53" spans="1:30" ht="15" customHeight="1" x14ac:dyDescent="0.25">
      <c r="A53" s="432"/>
      <c r="B53" s="114" t="s">
        <v>1143</v>
      </c>
      <c r="C53" s="123">
        <v>44835</v>
      </c>
      <c r="D53" s="656"/>
      <c r="E53" s="657"/>
      <c r="AA53" s="467" t="s">
        <v>1008</v>
      </c>
    </row>
    <row r="54" spans="1:30" ht="15" customHeight="1" x14ac:dyDescent="0.25">
      <c r="AA54" s="467" t="s">
        <v>1009</v>
      </c>
    </row>
    <row r="55" spans="1:30" ht="15" customHeight="1" x14ac:dyDescent="0.25">
      <c r="A55" s="431">
        <v>1</v>
      </c>
      <c r="B55" s="14" t="s">
        <v>1203</v>
      </c>
      <c r="AA55" s="467" t="s">
        <v>194</v>
      </c>
    </row>
    <row r="56" spans="1:30" ht="15" customHeight="1" x14ac:dyDescent="0.25">
      <c r="A56" s="431">
        <v>2</v>
      </c>
      <c r="B56" s="14" t="s">
        <v>1204</v>
      </c>
      <c r="AA56" s="467" t="s">
        <v>198</v>
      </c>
    </row>
    <row r="57" spans="1:30" ht="15" customHeight="1" x14ac:dyDescent="0.25">
      <c r="A57" s="431">
        <v>3</v>
      </c>
      <c r="B57" s="14" t="s">
        <v>1206</v>
      </c>
      <c r="AA57" s="467" t="s">
        <v>201</v>
      </c>
    </row>
    <row r="58" spans="1:30" ht="15" customHeight="1" x14ac:dyDescent="0.25">
      <c r="A58" s="431">
        <v>4</v>
      </c>
      <c r="B58" s="14" t="s">
        <v>1205</v>
      </c>
      <c r="AA58" s="467" t="s">
        <v>202</v>
      </c>
    </row>
    <row r="59" spans="1:30" ht="15" customHeight="1" x14ac:dyDescent="0.25">
      <c r="A59" s="431">
        <v>5</v>
      </c>
      <c r="B59" s="14" t="s">
        <v>1215</v>
      </c>
      <c r="AA59" s="467" t="s">
        <v>203</v>
      </c>
    </row>
    <row r="60" spans="1:30" ht="15" customHeight="1" x14ac:dyDescent="0.25">
      <c r="A60" s="431">
        <v>6</v>
      </c>
      <c r="B60" s="14" t="s">
        <v>1214</v>
      </c>
      <c r="AA60" s="467" t="s">
        <v>205</v>
      </c>
    </row>
    <row r="61" spans="1:30" ht="15" customHeight="1" x14ac:dyDescent="0.25">
      <c r="AA61" s="467" t="s">
        <v>1010</v>
      </c>
    </row>
    <row r="62" spans="1:30" ht="15" customHeight="1" x14ac:dyDescent="0.25">
      <c r="AA62" s="467" t="s">
        <v>1011</v>
      </c>
    </row>
    <row r="63" spans="1:30" ht="15" customHeight="1" x14ac:dyDescent="0.25">
      <c r="AA63" s="467" t="s">
        <v>1012</v>
      </c>
    </row>
    <row r="64" spans="1:30" ht="15" customHeight="1" x14ac:dyDescent="0.25">
      <c r="AA64" s="467" t="s">
        <v>1013</v>
      </c>
    </row>
    <row r="65" spans="27:27" ht="15" customHeight="1" x14ac:dyDescent="0.25">
      <c r="AA65" s="467" t="s">
        <v>208</v>
      </c>
    </row>
    <row r="66" spans="27:27" ht="15" customHeight="1" x14ac:dyDescent="0.25">
      <c r="AA66" s="467" t="s">
        <v>1014</v>
      </c>
    </row>
    <row r="67" spans="27:27" ht="15" customHeight="1" x14ac:dyDescent="0.25">
      <c r="AA67" s="467" t="s">
        <v>210</v>
      </c>
    </row>
    <row r="68" spans="27:27" ht="15" customHeight="1" x14ac:dyDescent="0.25">
      <c r="AA68" s="467" t="s">
        <v>1015</v>
      </c>
    </row>
    <row r="69" spans="27:27" ht="15" customHeight="1" x14ac:dyDescent="0.25">
      <c r="AA69" s="467" t="s">
        <v>1016</v>
      </c>
    </row>
    <row r="70" spans="27:27" ht="15" customHeight="1" x14ac:dyDescent="0.25">
      <c r="AA70" s="467" t="s">
        <v>1017</v>
      </c>
    </row>
    <row r="71" spans="27:27" ht="15" customHeight="1" x14ac:dyDescent="0.25">
      <c r="AA71" s="467" t="s">
        <v>1018</v>
      </c>
    </row>
    <row r="72" spans="27:27" ht="15" customHeight="1" x14ac:dyDescent="0.25">
      <c r="AA72" s="467" t="s">
        <v>215</v>
      </c>
    </row>
    <row r="73" spans="27:27" ht="15" customHeight="1" x14ac:dyDescent="0.25">
      <c r="AA73" s="467" t="s">
        <v>1019</v>
      </c>
    </row>
    <row r="74" spans="27:27" ht="15" customHeight="1" x14ac:dyDescent="0.25">
      <c r="AA74" s="467" t="s">
        <v>1020</v>
      </c>
    </row>
    <row r="75" spans="27:27" ht="15" customHeight="1" x14ac:dyDescent="0.25">
      <c r="AA75" s="467" t="s">
        <v>1021</v>
      </c>
    </row>
    <row r="76" spans="27:27" ht="15" customHeight="1" x14ac:dyDescent="0.25">
      <c r="AA76" s="467" t="s">
        <v>1022</v>
      </c>
    </row>
    <row r="77" spans="27:27" ht="15" customHeight="1" x14ac:dyDescent="0.25">
      <c r="AA77" s="467" t="s">
        <v>1023</v>
      </c>
    </row>
    <row r="78" spans="27:27" ht="15" customHeight="1" x14ac:dyDescent="0.25">
      <c r="AA78" s="467" t="s">
        <v>1024</v>
      </c>
    </row>
    <row r="79" spans="27:27" ht="15" customHeight="1" x14ac:dyDescent="0.25">
      <c r="AA79" s="467" t="s">
        <v>1025</v>
      </c>
    </row>
    <row r="80" spans="27:27" ht="15" customHeight="1" x14ac:dyDescent="0.25">
      <c r="AA80" s="467" t="s">
        <v>1026</v>
      </c>
    </row>
    <row r="81" spans="27:27" ht="15" customHeight="1" x14ac:dyDescent="0.25">
      <c r="AA81" s="467" t="s">
        <v>1027</v>
      </c>
    </row>
    <row r="82" spans="27:27" ht="15" customHeight="1" x14ac:dyDescent="0.25">
      <c r="AA82" s="467" t="s">
        <v>1028</v>
      </c>
    </row>
    <row r="83" spans="27:27" ht="15" customHeight="1" x14ac:dyDescent="0.25">
      <c r="AA83" s="467" t="s">
        <v>1029</v>
      </c>
    </row>
    <row r="84" spans="27:27" ht="15" customHeight="1" x14ac:dyDescent="0.25">
      <c r="AA84" s="467" t="s">
        <v>1030</v>
      </c>
    </row>
    <row r="85" spans="27:27" ht="15" customHeight="1" x14ac:dyDescent="0.25">
      <c r="AA85" s="467" t="s">
        <v>1031</v>
      </c>
    </row>
    <row r="86" spans="27:27" ht="15" customHeight="1" x14ac:dyDescent="0.25">
      <c r="AA86" s="467" t="s">
        <v>1032</v>
      </c>
    </row>
    <row r="87" spans="27:27" ht="15" customHeight="1" x14ac:dyDescent="0.25">
      <c r="AA87" s="467" t="s">
        <v>1033</v>
      </c>
    </row>
    <row r="88" spans="27:27" ht="15" customHeight="1" x14ac:dyDescent="0.25">
      <c r="AA88" s="467" t="s">
        <v>1034</v>
      </c>
    </row>
    <row r="89" spans="27:27" ht="15" customHeight="1" x14ac:dyDescent="0.25">
      <c r="AA89" s="467" t="s">
        <v>1035</v>
      </c>
    </row>
    <row r="90" spans="27:27" ht="15" customHeight="1" x14ac:dyDescent="0.25">
      <c r="AA90" s="467" t="s">
        <v>1036</v>
      </c>
    </row>
    <row r="91" spans="27:27" ht="15" customHeight="1" x14ac:dyDescent="0.25">
      <c r="AA91" s="467" t="s">
        <v>1037</v>
      </c>
    </row>
    <row r="92" spans="27:27" ht="15" customHeight="1" x14ac:dyDescent="0.25">
      <c r="AA92" s="467" t="s">
        <v>1038</v>
      </c>
    </row>
    <row r="93" spans="27:27" ht="15" customHeight="1" x14ac:dyDescent="0.25">
      <c r="AA93" s="467" t="s">
        <v>1039</v>
      </c>
    </row>
    <row r="94" spans="27:27" ht="15" customHeight="1" x14ac:dyDescent="0.25">
      <c r="AA94" s="467" t="s">
        <v>1040</v>
      </c>
    </row>
    <row r="95" spans="27:27" ht="15" customHeight="1" x14ac:dyDescent="0.25">
      <c r="AA95" s="467" t="s">
        <v>1041</v>
      </c>
    </row>
    <row r="96" spans="27:27" ht="15" customHeight="1" x14ac:dyDescent="0.25">
      <c r="AA96" s="467" t="s">
        <v>1042</v>
      </c>
    </row>
    <row r="97" spans="27:27" ht="15" customHeight="1" x14ac:dyDescent="0.25">
      <c r="AA97" s="467" t="s">
        <v>1043</v>
      </c>
    </row>
    <row r="98" spans="27:27" ht="15" customHeight="1" x14ac:dyDescent="0.25">
      <c r="AA98" s="467" t="s">
        <v>1044</v>
      </c>
    </row>
    <row r="99" spans="27:27" ht="15" customHeight="1" x14ac:dyDescent="0.25">
      <c r="AA99" s="467" t="s">
        <v>1045</v>
      </c>
    </row>
    <row r="100" spans="27:27" ht="15" customHeight="1" x14ac:dyDescent="0.25">
      <c r="AA100" s="467" t="s">
        <v>1046</v>
      </c>
    </row>
    <row r="101" spans="27:27" ht="15" customHeight="1" x14ac:dyDescent="0.25">
      <c r="AA101" s="467" t="s">
        <v>1047</v>
      </c>
    </row>
    <row r="102" spans="27:27" ht="15" customHeight="1" x14ac:dyDescent="0.25">
      <c r="AA102" s="467" t="s">
        <v>1048</v>
      </c>
    </row>
    <row r="103" spans="27:27" ht="15" customHeight="1" x14ac:dyDescent="0.25">
      <c r="AA103" s="467" t="s">
        <v>1049</v>
      </c>
    </row>
    <row r="104" spans="27:27" ht="15" customHeight="1" x14ac:dyDescent="0.25">
      <c r="AA104" s="467" t="s">
        <v>1050</v>
      </c>
    </row>
    <row r="105" spans="27:27" ht="15" customHeight="1" x14ac:dyDescent="0.25">
      <c r="AA105" s="467" t="s">
        <v>1051</v>
      </c>
    </row>
    <row r="106" spans="27:27" ht="15" customHeight="1" x14ac:dyDescent="0.25">
      <c r="AA106" s="467" t="s">
        <v>1052</v>
      </c>
    </row>
    <row r="107" spans="27:27" ht="15" customHeight="1" x14ac:dyDescent="0.25">
      <c r="AA107" s="467" t="s">
        <v>1053</v>
      </c>
    </row>
    <row r="108" spans="27:27" ht="15" customHeight="1" x14ac:dyDescent="0.25">
      <c r="AA108" s="467" t="s">
        <v>1054</v>
      </c>
    </row>
    <row r="109" spans="27:27" ht="15" customHeight="1" x14ac:dyDescent="0.25">
      <c r="AA109" s="467" t="s">
        <v>1055</v>
      </c>
    </row>
    <row r="110" spans="27:27" ht="15" customHeight="1" x14ac:dyDescent="0.25">
      <c r="AA110" s="467" t="s">
        <v>1056</v>
      </c>
    </row>
    <row r="111" spans="27:27" ht="15" customHeight="1" x14ac:dyDescent="0.25">
      <c r="AA111" s="467" t="s">
        <v>1057</v>
      </c>
    </row>
    <row r="112" spans="27:27" ht="15" customHeight="1" x14ac:dyDescent="0.25">
      <c r="AA112" s="467" t="s">
        <v>1058</v>
      </c>
    </row>
    <row r="113" spans="27:27" ht="15" customHeight="1" x14ac:dyDescent="0.25">
      <c r="AA113" s="467" t="s">
        <v>1059</v>
      </c>
    </row>
    <row r="114" spans="27:27" ht="15" customHeight="1" x14ac:dyDescent="0.25">
      <c r="AA114" s="467" t="s">
        <v>1060</v>
      </c>
    </row>
    <row r="115" spans="27:27" ht="15" customHeight="1" x14ac:dyDescent="0.25">
      <c r="AA115" s="467" t="s">
        <v>1061</v>
      </c>
    </row>
    <row r="116" spans="27:27" ht="15" customHeight="1" x14ac:dyDescent="0.25">
      <c r="AA116" s="467" t="s">
        <v>1062</v>
      </c>
    </row>
    <row r="117" spans="27:27" ht="15" customHeight="1" x14ac:dyDescent="0.25">
      <c r="AA117" s="467" t="s">
        <v>268</v>
      </c>
    </row>
    <row r="118" spans="27:27" ht="15" customHeight="1" x14ac:dyDescent="0.25">
      <c r="AA118" s="467" t="s">
        <v>269</v>
      </c>
    </row>
    <row r="119" spans="27:27" ht="15" customHeight="1" x14ac:dyDescent="0.25">
      <c r="AA119" s="467" t="s">
        <v>1063</v>
      </c>
    </row>
    <row r="120" spans="27:27" ht="15" customHeight="1" x14ac:dyDescent="0.25">
      <c r="AA120" s="467" t="s">
        <v>1064</v>
      </c>
    </row>
    <row r="121" spans="27:27" ht="15" customHeight="1" x14ac:dyDescent="0.25">
      <c r="AA121" s="467" t="s">
        <v>1065</v>
      </c>
    </row>
    <row r="122" spans="27:27" ht="15" customHeight="1" x14ac:dyDescent="0.25">
      <c r="AA122" s="467" t="s">
        <v>1066</v>
      </c>
    </row>
    <row r="123" spans="27:27" ht="15" customHeight="1" x14ac:dyDescent="0.25">
      <c r="AA123" s="467" t="s">
        <v>1067</v>
      </c>
    </row>
    <row r="124" spans="27:27" ht="15" customHeight="1" x14ac:dyDescent="0.25">
      <c r="AA124" s="467" t="s">
        <v>1068</v>
      </c>
    </row>
    <row r="125" spans="27:27" ht="15" customHeight="1" x14ac:dyDescent="0.25">
      <c r="AA125" s="467" t="s">
        <v>1069</v>
      </c>
    </row>
    <row r="126" spans="27:27" ht="15" customHeight="1" x14ac:dyDescent="0.25">
      <c r="AA126" s="467" t="s">
        <v>1070</v>
      </c>
    </row>
    <row r="127" spans="27:27" ht="15" customHeight="1" x14ac:dyDescent="0.25">
      <c r="AA127" s="467" t="s">
        <v>275</v>
      </c>
    </row>
    <row r="128" spans="27:27" ht="15" customHeight="1" x14ac:dyDescent="0.25">
      <c r="AA128" s="467" t="s">
        <v>1071</v>
      </c>
    </row>
    <row r="129" spans="27:27" ht="15" customHeight="1" x14ac:dyDescent="0.25">
      <c r="AA129" s="467" t="s">
        <v>1072</v>
      </c>
    </row>
    <row r="130" spans="27:27" ht="15" customHeight="1" x14ac:dyDescent="0.25">
      <c r="AA130" s="467" t="s">
        <v>1073</v>
      </c>
    </row>
    <row r="131" spans="27:27" ht="15" customHeight="1" x14ac:dyDescent="0.25">
      <c r="AA131" s="467" t="s">
        <v>280</v>
      </c>
    </row>
    <row r="132" spans="27:27" ht="15" customHeight="1" x14ac:dyDescent="0.25">
      <c r="AA132" s="467" t="s">
        <v>1074</v>
      </c>
    </row>
    <row r="133" spans="27:27" ht="15" customHeight="1" x14ac:dyDescent="0.25">
      <c r="AA133" s="467" t="s">
        <v>1075</v>
      </c>
    </row>
    <row r="134" spans="27:27" ht="15" customHeight="1" x14ac:dyDescent="0.25">
      <c r="AA134" s="467" t="s">
        <v>971</v>
      </c>
    </row>
    <row r="135" spans="27:27" ht="15" customHeight="1" x14ac:dyDescent="0.25">
      <c r="AA135" s="467" t="s">
        <v>1076</v>
      </c>
    </row>
    <row r="136" spans="27:27" ht="15" customHeight="1" x14ac:dyDescent="0.25">
      <c r="AA136" s="467" t="s">
        <v>1077</v>
      </c>
    </row>
    <row r="137" spans="27:27" ht="15" customHeight="1" x14ac:dyDescent="0.25">
      <c r="AA137" s="467" t="s">
        <v>303</v>
      </c>
    </row>
    <row r="138" spans="27:27" ht="15" customHeight="1" x14ac:dyDescent="0.25">
      <c r="AA138" s="467" t="s">
        <v>304</v>
      </c>
    </row>
    <row r="139" spans="27:27" ht="15" customHeight="1" x14ac:dyDescent="0.25">
      <c r="AA139" s="467" t="s">
        <v>1078</v>
      </c>
    </row>
    <row r="140" spans="27:27" ht="15" customHeight="1" x14ac:dyDescent="0.25">
      <c r="AA140" s="467" t="s">
        <v>1079</v>
      </c>
    </row>
    <row r="141" spans="27:27" ht="15" customHeight="1" x14ac:dyDescent="0.25">
      <c r="AA141" s="467" t="s">
        <v>1080</v>
      </c>
    </row>
    <row r="142" spans="27:27" ht="15" customHeight="1" x14ac:dyDescent="0.25">
      <c r="AA142" s="467" t="s">
        <v>1081</v>
      </c>
    </row>
    <row r="143" spans="27:27" ht="15" customHeight="1" x14ac:dyDescent="0.25">
      <c r="AA143" s="467" t="s">
        <v>1082</v>
      </c>
    </row>
    <row r="144" spans="27:27" ht="15" customHeight="1" x14ac:dyDescent="0.25">
      <c r="AA144" s="467" t="s">
        <v>1083</v>
      </c>
    </row>
    <row r="145" spans="27:27" ht="15" customHeight="1" x14ac:dyDescent="0.25">
      <c r="AA145" s="467" t="s">
        <v>1084</v>
      </c>
    </row>
    <row r="146" spans="27:27" ht="15" customHeight="1" x14ac:dyDescent="0.25">
      <c r="AA146" s="467" t="s">
        <v>1085</v>
      </c>
    </row>
    <row r="147" spans="27:27" ht="15" customHeight="1" x14ac:dyDescent="0.25">
      <c r="AA147" s="467" t="s">
        <v>1086</v>
      </c>
    </row>
    <row r="148" spans="27:27" ht="15" customHeight="1" x14ac:dyDescent="0.25">
      <c r="AA148" s="467" t="s">
        <v>1087</v>
      </c>
    </row>
    <row r="149" spans="27:27" ht="15" customHeight="1" x14ac:dyDescent="0.25">
      <c r="AA149" s="467" t="s">
        <v>1088</v>
      </c>
    </row>
    <row r="150" spans="27:27" ht="15" customHeight="1" x14ac:dyDescent="0.25">
      <c r="AA150" s="467" t="s">
        <v>1089</v>
      </c>
    </row>
    <row r="151" spans="27:27" ht="15" customHeight="1" x14ac:dyDescent="0.25">
      <c r="AA151" s="467" t="s">
        <v>1090</v>
      </c>
    </row>
    <row r="152" spans="27:27" ht="15" customHeight="1" x14ac:dyDescent="0.25">
      <c r="AA152" s="467" t="s">
        <v>1091</v>
      </c>
    </row>
    <row r="153" spans="27:27" ht="15" customHeight="1" x14ac:dyDescent="0.25">
      <c r="AA153" s="467" t="s">
        <v>1092</v>
      </c>
    </row>
    <row r="154" spans="27:27" ht="15" customHeight="1" x14ac:dyDescent="0.25">
      <c r="AA154" s="467" t="s">
        <v>1093</v>
      </c>
    </row>
    <row r="155" spans="27:27" ht="15" customHeight="1" x14ac:dyDescent="0.25">
      <c r="AA155" s="467" t="s">
        <v>1094</v>
      </c>
    </row>
    <row r="156" spans="27:27" ht="15" customHeight="1" x14ac:dyDescent="0.25">
      <c r="AA156" s="467" t="s">
        <v>1095</v>
      </c>
    </row>
    <row r="160" spans="27:27" ht="15" customHeight="1" x14ac:dyDescent="0.25">
      <c r="AA160" s="472" t="s">
        <v>972</v>
      </c>
    </row>
    <row r="161" spans="27:27" ht="15" customHeight="1" x14ac:dyDescent="0.25">
      <c r="AA161" s="472" t="s">
        <v>973</v>
      </c>
    </row>
    <row r="162" spans="27:27" ht="15" customHeight="1" x14ac:dyDescent="0.25">
      <c r="AA162" s="472" t="s">
        <v>974</v>
      </c>
    </row>
    <row r="164" spans="27:27" ht="15" customHeight="1" x14ac:dyDescent="0.25">
      <c r="AA164" s="472" t="s">
        <v>975</v>
      </c>
    </row>
    <row r="165" spans="27:27" ht="15" customHeight="1" x14ac:dyDescent="0.25">
      <c r="AA165" s="472" t="s">
        <v>969</v>
      </c>
    </row>
  </sheetData>
  <sheetProtection algorithmName="SHA-512" hashValue="EAm6SiDFHydn/H0cHfNwQ3bdE7iZDwLw4mwft2S8ZaD3PQ64+O3/zlBkJuAMwvSgt0i77Ku2WVo5Aoq+103syA==" saltValue="BAE1KDxYc6z3lfLp2HJ4Vg==" spinCount="100000" sheet="1" objects="1" scenarios="1"/>
  <mergeCells count="32">
    <mergeCell ref="D53:E53"/>
    <mergeCell ref="D38:E38"/>
    <mergeCell ref="D39:E39"/>
    <mergeCell ref="D40:E40"/>
    <mergeCell ref="D41:E41"/>
    <mergeCell ref="D44:E44"/>
    <mergeCell ref="D45:E45"/>
    <mergeCell ref="D46:E46"/>
    <mergeCell ref="D47:E47"/>
    <mergeCell ref="D48:E48"/>
    <mergeCell ref="D49:E49"/>
    <mergeCell ref="D52:E52"/>
    <mergeCell ref="D50:E50"/>
    <mergeCell ref="D51:E51"/>
    <mergeCell ref="C20:E20"/>
    <mergeCell ref="C9:E9"/>
    <mergeCell ref="C10:D10"/>
    <mergeCell ref="C11:E11"/>
    <mergeCell ref="C12:D12"/>
    <mergeCell ref="C13:E13"/>
    <mergeCell ref="C14:E14"/>
    <mergeCell ref="C15:E15"/>
    <mergeCell ref="C16:E16"/>
    <mergeCell ref="C17:D17"/>
    <mergeCell ref="C18:D18"/>
    <mergeCell ref="C19:D19"/>
    <mergeCell ref="C8:E8"/>
    <mergeCell ref="A1:B1"/>
    <mergeCell ref="A3:B3"/>
    <mergeCell ref="B4:E4"/>
    <mergeCell ref="B6:E6"/>
    <mergeCell ref="C7:E7"/>
  </mergeCells>
  <dataValidations count="3">
    <dataValidation type="list" allowBlank="1" showInputMessage="1" showErrorMessage="1" sqref="C17:D19">
      <formula1>$AA$163:$AA$165</formula1>
    </dataValidation>
    <dataValidation type="list" allowBlank="1" showInputMessage="1" showErrorMessage="1" sqref="C12:D12">
      <formula1>$AA$159:$AA$162</formula1>
    </dataValidation>
    <dataValidation type="list" allowBlank="1" showInputMessage="1" showErrorMessage="1" sqref="C10:D10">
      <formula1>$AA$5:$AA$156</formula1>
    </dataValidation>
  </dataValidations>
  <hyperlinks>
    <hyperlink ref="A1" location="Index!A1" display="&lt; Return to Index"/>
    <hyperlink ref="B38" r:id="rId1"/>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zoomScaleSheetLayoutView="100" workbookViewId="0">
      <pane ySplit="4" topLeftCell="A5" activePane="bottomLeft" state="frozen"/>
      <selection pane="bottomLeft" activeCell="C6" sqref="C6:C7"/>
    </sheetView>
  </sheetViews>
  <sheetFormatPr defaultColWidth="9.109375" defaultRowHeight="13.2" x14ac:dyDescent="0.25"/>
  <cols>
    <col min="1" max="1" width="4.6640625" style="23" customWidth="1"/>
    <col min="2" max="2" width="10" style="23" customWidth="1"/>
    <col min="3" max="3" width="111.6640625" style="23" customWidth="1"/>
    <col min="4" max="4" width="4.6640625" style="23" customWidth="1"/>
    <col min="5" max="16384" width="9.109375" style="23"/>
  </cols>
  <sheetData>
    <row r="1" spans="1:3" s="178" customFormat="1" ht="21.9" customHeight="1" x14ac:dyDescent="0.25">
      <c r="A1" s="661" t="s">
        <v>1118</v>
      </c>
      <c r="B1" s="662"/>
      <c r="C1" s="662"/>
    </row>
    <row r="2" spans="1:3" s="13" customFormat="1" ht="29.25" customHeight="1" x14ac:dyDescent="0.25">
      <c r="A2" s="27" t="s">
        <v>911</v>
      </c>
      <c r="B2" s="141"/>
      <c r="C2" s="135" t="s">
        <v>1098</v>
      </c>
    </row>
    <row r="3" spans="1:3" s="13" customFormat="1" ht="15" customHeight="1" x14ac:dyDescent="0.25">
      <c r="A3" s="660"/>
      <c r="B3" s="642"/>
      <c r="C3" s="640"/>
    </row>
    <row r="4" spans="1:3" ht="14.4" thickBot="1" x14ac:dyDescent="0.35">
      <c r="B4" s="663" t="s">
        <v>922</v>
      </c>
      <c r="C4" s="664"/>
    </row>
    <row r="5" spans="1:3" ht="24" customHeight="1" thickTop="1" x14ac:dyDescent="0.25">
      <c r="B5" s="22" t="s">
        <v>918</v>
      </c>
    </row>
    <row r="6" spans="1:3" ht="87.9" customHeight="1" x14ac:dyDescent="0.25">
      <c r="C6" s="659" t="s">
        <v>1257</v>
      </c>
    </row>
    <row r="7" spans="1:3" ht="87.9" customHeight="1" x14ac:dyDescent="0.25">
      <c r="C7" s="659"/>
    </row>
    <row r="8" spans="1:3" x14ac:dyDescent="0.25">
      <c r="C8" s="493"/>
    </row>
    <row r="9" spans="1:3" ht="24" customHeight="1" x14ac:dyDescent="0.25">
      <c r="B9" s="14" t="s">
        <v>919</v>
      </c>
      <c r="C9" s="493"/>
    </row>
    <row r="10" spans="1:3" ht="87.75" customHeight="1" x14ac:dyDescent="0.25">
      <c r="C10" s="659" t="s">
        <v>1258</v>
      </c>
    </row>
    <row r="11" spans="1:3" ht="87.9" customHeight="1" x14ac:dyDescent="0.25">
      <c r="C11" s="659"/>
    </row>
    <row r="12" spans="1:3" x14ac:dyDescent="0.25">
      <c r="C12" s="493"/>
    </row>
    <row r="13" spans="1:3" ht="24" customHeight="1" x14ac:dyDescent="0.25">
      <c r="B13" s="14" t="s">
        <v>920</v>
      </c>
      <c r="C13" s="493"/>
    </row>
    <row r="14" spans="1:3" ht="87.9" customHeight="1" x14ac:dyDescent="0.25">
      <c r="C14" s="551" t="s">
        <v>1259</v>
      </c>
    </row>
    <row r="15" spans="1:3" x14ac:dyDescent="0.25">
      <c r="C15" s="493"/>
    </row>
    <row r="16" spans="1:3" ht="24" customHeight="1" x14ac:dyDescent="0.25">
      <c r="B16" s="14" t="s">
        <v>921</v>
      </c>
      <c r="C16" s="493"/>
    </row>
    <row r="17" spans="3:3" ht="87.9" customHeight="1" x14ac:dyDescent="0.25">
      <c r="C17" s="302" t="s">
        <v>1260</v>
      </c>
    </row>
  </sheetData>
  <mergeCells count="5">
    <mergeCell ref="C6:C7"/>
    <mergeCell ref="C10:C11"/>
    <mergeCell ref="A3:C3"/>
    <mergeCell ref="A1:C1"/>
    <mergeCell ref="B4:C4"/>
  </mergeCells>
  <hyperlinks>
    <hyperlink ref="A1" location="Index!A1" display="&lt; Return to Index"/>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K73"/>
  <sheetViews>
    <sheetView zoomScaleNormal="100" zoomScaleSheetLayoutView="100" workbookViewId="0">
      <pane ySplit="6" topLeftCell="A7" activePane="bottomLeft" state="frozen"/>
      <selection activeCell="D56" sqref="D56"/>
      <selection pane="bottomLeft" activeCell="L5" sqref="L5"/>
    </sheetView>
  </sheetViews>
  <sheetFormatPr defaultColWidth="9.109375" defaultRowHeight="13.2" x14ac:dyDescent="0.25"/>
  <cols>
    <col min="1" max="1" width="4.6640625" style="313" customWidth="1"/>
    <col min="2" max="2" width="3" style="313" customWidth="1"/>
    <col min="3" max="3" width="9.109375" style="313"/>
    <col min="4" max="4" width="39.88671875" style="313" customWidth="1"/>
    <col min="5" max="5" width="15.77734375" style="562" customWidth="1"/>
    <col min="6" max="6" width="15.77734375" style="313" customWidth="1"/>
    <col min="7" max="7" width="3.33203125" style="325" bestFit="1" customWidth="1"/>
    <col min="8" max="17" width="15.77734375" style="313" customWidth="1"/>
    <col min="18" max="18" width="4.6640625" style="313" customWidth="1"/>
    <col min="19" max="19" width="10.5546875" style="330" customWidth="1"/>
    <col min="20" max="20" width="49.33203125" style="318" customWidth="1"/>
    <col min="21" max="27" width="12.6640625" style="313" customWidth="1"/>
    <col min="28" max="37" width="0" style="313" hidden="1" customWidth="1"/>
    <col min="38" max="16384" width="9.109375" style="313"/>
  </cols>
  <sheetData>
    <row r="1" spans="1:20" s="179" customFormat="1" ht="16.05" customHeight="1" x14ac:dyDescent="0.25">
      <c r="A1" s="639" t="s">
        <v>1118</v>
      </c>
      <c r="B1" s="640"/>
      <c r="C1" s="640"/>
      <c r="D1" s="640"/>
      <c r="G1" s="316"/>
      <c r="R1" s="549"/>
      <c r="S1" s="317"/>
      <c r="T1" s="318"/>
    </row>
    <row r="2" spans="1:20" s="321" customFormat="1" ht="16.05" customHeight="1" x14ac:dyDescent="0.25">
      <c r="A2" s="676"/>
      <c r="B2" s="642"/>
      <c r="C2" s="642"/>
      <c r="D2" s="319"/>
      <c r="E2" s="319"/>
      <c r="F2" s="319"/>
      <c r="G2" s="320"/>
      <c r="S2" s="322"/>
      <c r="T2" s="323"/>
    </row>
    <row r="3" spans="1:20" s="321" customFormat="1" ht="16.05" customHeight="1" x14ac:dyDescent="0.25">
      <c r="A3" s="677"/>
      <c r="B3" s="642"/>
      <c r="C3" s="642"/>
      <c r="D3" s="324"/>
      <c r="G3" s="325"/>
      <c r="S3" s="322"/>
      <c r="T3" s="323"/>
    </row>
    <row r="4" spans="1:20" ht="35.4" customHeight="1" x14ac:dyDescent="0.25">
      <c r="A4" s="326"/>
      <c r="B4" s="327"/>
      <c r="C4" s="327"/>
      <c r="D4" s="327"/>
      <c r="H4" s="328" t="s">
        <v>1209</v>
      </c>
      <c r="I4" s="329" t="s">
        <v>338</v>
      </c>
      <c r="J4" s="329" t="s">
        <v>339</v>
      </c>
      <c r="K4" s="329" t="s">
        <v>340</v>
      </c>
      <c r="L4" s="329" t="s">
        <v>341</v>
      </c>
      <c r="M4" s="329" t="s">
        <v>342</v>
      </c>
      <c r="N4" s="329" t="s">
        <v>343</v>
      </c>
      <c r="O4" s="329" t="s">
        <v>344</v>
      </c>
      <c r="P4" s="329" t="s">
        <v>345</v>
      </c>
      <c r="Q4" s="329" t="s">
        <v>346</v>
      </c>
    </row>
    <row r="5" spans="1:20" ht="33" customHeight="1" x14ac:dyDescent="0.25">
      <c r="B5" s="679"/>
      <c r="C5" s="679"/>
      <c r="D5" s="679"/>
      <c r="E5" s="436"/>
      <c r="F5" s="436" t="s">
        <v>1208</v>
      </c>
      <c r="H5" s="437" t="s">
        <v>1261</v>
      </c>
      <c r="I5" s="437" t="s">
        <v>1262</v>
      </c>
      <c r="J5" s="437"/>
      <c r="K5" s="437"/>
      <c r="L5" s="437"/>
      <c r="M5" s="437"/>
      <c r="N5" s="437"/>
      <c r="O5" s="437"/>
      <c r="P5" s="437"/>
      <c r="Q5" s="437"/>
      <c r="S5" s="689" t="s">
        <v>1152</v>
      </c>
    </row>
    <row r="6" spans="1:20" ht="43.95" customHeight="1" x14ac:dyDescent="0.25">
      <c r="B6" s="680" t="s">
        <v>0</v>
      </c>
      <c r="C6" s="680"/>
      <c r="D6" s="680"/>
      <c r="E6" s="564" t="s">
        <v>1322</v>
      </c>
      <c r="F6" s="331" t="s">
        <v>1323</v>
      </c>
      <c r="H6" s="332" t="s">
        <v>1</v>
      </c>
      <c r="I6" s="332" t="s">
        <v>1</v>
      </c>
      <c r="J6" s="332" t="s">
        <v>1</v>
      </c>
      <c r="K6" s="332" t="s">
        <v>1</v>
      </c>
      <c r="L6" s="332" t="s">
        <v>1</v>
      </c>
      <c r="M6" s="332" t="s">
        <v>1</v>
      </c>
      <c r="N6" s="332" t="s">
        <v>1</v>
      </c>
      <c r="O6" s="332" t="s">
        <v>1</v>
      </c>
      <c r="P6" s="332" t="s">
        <v>1</v>
      </c>
      <c r="Q6" s="332" t="s">
        <v>1</v>
      </c>
      <c r="S6" s="690"/>
      <c r="T6" s="333" t="s">
        <v>337</v>
      </c>
    </row>
    <row r="7" spans="1:20" ht="16.05" customHeight="1" thickBot="1" x14ac:dyDescent="0.3">
      <c r="A7" s="678" t="s">
        <v>348</v>
      </c>
      <c r="B7" s="640"/>
      <c r="C7" s="640"/>
      <c r="D7" s="640"/>
      <c r="E7" s="565"/>
      <c r="F7" s="334"/>
      <c r="H7" s="335"/>
      <c r="I7" s="335"/>
      <c r="J7" s="335"/>
      <c r="K7" s="335"/>
      <c r="L7" s="335"/>
      <c r="M7" s="335"/>
      <c r="N7" s="335"/>
      <c r="O7" s="335"/>
      <c r="P7" s="335"/>
      <c r="Q7" s="335"/>
    </row>
    <row r="8" spans="1:20" ht="16.05" customHeight="1" thickBot="1" x14ac:dyDescent="0.3">
      <c r="B8" s="670" t="s">
        <v>381</v>
      </c>
      <c r="C8" s="671"/>
      <c r="D8" s="672"/>
      <c r="E8" s="566">
        <f>F8</f>
        <v>1000000</v>
      </c>
      <c r="F8" s="341">
        <f>SUM(H8:Q8)</f>
        <v>1000000</v>
      </c>
      <c r="H8" s="336">
        <v>1000000</v>
      </c>
      <c r="I8" s="336"/>
      <c r="J8" s="336"/>
      <c r="K8" s="336"/>
      <c r="L8" s="336"/>
      <c r="M8" s="336"/>
      <c r="N8" s="336"/>
      <c r="O8" s="336"/>
      <c r="P8" s="336"/>
      <c r="Q8" s="336"/>
      <c r="T8" s="337"/>
    </row>
    <row r="9" spans="1:20" ht="16.05" customHeight="1" x14ac:dyDescent="0.25">
      <c r="B9" s="674"/>
      <c r="C9" s="675"/>
      <c r="D9" s="675"/>
      <c r="E9" s="565"/>
      <c r="F9" s="334"/>
      <c r="G9" s="338"/>
      <c r="H9" s="334"/>
      <c r="I9" s="334"/>
      <c r="J9" s="334"/>
      <c r="K9" s="334"/>
      <c r="L9" s="334"/>
      <c r="M9" s="334"/>
      <c r="N9" s="334"/>
      <c r="O9" s="334"/>
      <c r="P9" s="334"/>
      <c r="Q9" s="334"/>
    </row>
    <row r="10" spans="1:20" ht="16.05" customHeight="1" x14ac:dyDescent="0.25">
      <c r="A10" s="678" t="s">
        <v>383</v>
      </c>
      <c r="B10" s="640"/>
      <c r="C10" s="640"/>
      <c r="D10" s="640"/>
      <c r="E10" s="567"/>
      <c r="F10" s="335"/>
      <c r="G10" s="338"/>
      <c r="H10" s="335"/>
      <c r="I10" s="335"/>
      <c r="J10" s="335"/>
      <c r="K10" s="335"/>
      <c r="L10" s="335"/>
      <c r="M10" s="335"/>
      <c r="N10" s="335"/>
      <c r="O10" s="335"/>
      <c r="P10" s="335"/>
      <c r="Q10" s="335"/>
    </row>
    <row r="11" spans="1:20" ht="16.05" customHeight="1" thickBot="1" x14ac:dyDescent="0.3">
      <c r="B11" s="681" t="s">
        <v>958</v>
      </c>
      <c r="C11" s="675"/>
      <c r="D11" s="682"/>
      <c r="E11" s="568">
        <f>F11*Escalation!M14</f>
        <v>57868496.466710746</v>
      </c>
      <c r="F11" s="339">
        <f>SUM(H11:Q11)</f>
        <v>37990086.049609505</v>
      </c>
      <c r="H11" s="340"/>
      <c r="I11" s="340">
        <f>[9]Blender!F16</f>
        <v>37990086.049609505</v>
      </c>
      <c r="J11" s="340"/>
      <c r="K11" s="340"/>
      <c r="L11" s="340"/>
      <c r="M11" s="340"/>
      <c r="N11" s="340"/>
      <c r="O11" s="340"/>
      <c r="P11" s="340"/>
      <c r="Q11" s="340"/>
      <c r="T11" s="337"/>
    </row>
    <row r="12" spans="1:20" ht="16.05" customHeight="1" thickBot="1" x14ac:dyDescent="0.3">
      <c r="B12" s="670" t="s">
        <v>380</v>
      </c>
      <c r="C12" s="671"/>
      <c r="D12" s="672"/>
      <c r="E12" s="566">
        <f>E11</f>
        <v>57868496.466710746</v>
      </c>
      <c r="F12" s="341">
        <f>SUM(H12:Q12)</f>
        <v>37990086.049609505</v>
      </c>
      <c r="H12" s="342">
        <f t="shared" ref="H12:Q12" si="0">SUM(H11:H11)</f>
        <v>0</v>
      </c>
      <c r="I12" s="342">
        <f t="shared" si="0"/>
        <v>37990086.049609505</v>
      </c>
      <c r="J12" s="342">
        <f t="shared" si="0"/>
        <v>0</v>
      </c>
      <c r="K12" s="342">
        <f t="shared" si="0"/>
        <v>0</v>
      </c>
      <c r="L12" s="342">
        <f t="shared" si="0"/>
        <v>0</v>
      </c>
      <c r="M12" s="342">
        <f t="shared" si="0"/>
        <v>0</v>
      </c>
      <c r="N12" s="342">
        <f t="shared" si="0"/>
        <v>0</v>
      </c>
      <c r="O12" s="342">
        <f t="shared" si="0"/>
        <v>0</v>
      </c>
      <c r="P12" s="342">
        <f t="shared" si="0"/>
        <v>0</v>
      </c>
      <c r="Q12" s="342">
        <f t="shared" si="0"/>
        <v>0</v>
      </c>
      <c r="S12" s="495">
        <f>H12/Overview!C38</f>
        <v>0</v>
      </c>
      <c r="T12" s="337"/>
    </row>
    <row r="13" spans="1:20" ht="16.05" customHeight="1" x14ac:dyDescent="0.25">
      <c r="B13" s="674"/>
      <c r="C13" s="675"/>
      <c r="D13" s="675"/>
      <c r="E13" s="565"/>
      <c r="F13" s="334"/>
      <c r="G13" s="338"/>
      <c r="H13" s="334"/>
      <c r="I13" s="334"/>
      <c r="J13" s="334"/>
      <c r="K13" s="334"/>
      <c r="L13" s="334"/>
      <c r="M13" s="334"/>
      <c r="N13" s="334"/>
      <c r="O13" s="334"/>
      <c r="P13" s="334"/>
      <c r="Q13" s="334"/>
    </row>
    <row r="14" spans="1:20" ht="16.05" customHeight="1" x14ac:dyDescent="0.25">
      <c r="A14" s="678" t="s">
        <v>350</v>
      </c>
      <c r="B14" s="640"/>
      <c r="C14" s="640"/>
      <c r="D14" s="640"/>
      <c r="E14" s="567"/>
      <c r="F14" s="335"/>
      <c r="G14" s="338"/>
      <c r="H14" s="335"/>
      <c r="I14" s="335"/>
      <c r="J14" s="335"/>
      <c r="K14" s="335"/>
      <c r="L14" s="335"/>
      <c r="M14" s="335"/>
      <c r="N14" s="335"/>
      <c r="O14" s="335"/>
      <c r="P14" s="335"/>
      <c r="Q14" s="335"/>
    </row>
    <row r="15" spans="1:20" ht="16.05" customHeight="1" x14ac:dyDescent="0.25">
      <c r="B15" s="667" t="s">
        <v>353</v>
      </c>
      <c r="C15" s="668"/>
      <c r="D15" s="669"/>
      <c r="E15" s="569">
        <f>F15*Escalation!$M$18</f>
        <v>3050139.981509719</v>
      </c>
      <c r="F15" s="343">
        <f t="shared" ref="F15:F25" si="1">SUM(H15:Q15)</f>
        <v>2400000</v>
      </c>
      <c r="H15" s="336"/>
      <c r="I15" s="336">
        <v>2400000</v>
      </c>
      <c r="J15" s="336"/>
      <c r="K15" s="336"/>
      <c r="L15" s="336"/>
      <c r="M15" s="336"/>
      <c r="N15" s="336"/>
      <c r="O15" s="336"/>
      <c r="P15" s="336"/>
      <c r="Q15" s="336"/>
      <c r="T15" s="344"/>
    </row>
    <row r="16" spans="1:20" ht="16.05" customHeight="1" x14ac:dyDescent="0.25">
      <c r="B16" s="667" t="s">
        <v>354</v>
      </c>
      <c r="C16" s="668"/>
      <c r="D16" s="669"/>
      <c r="E16" s="569">
        <f>F16*Escalation!$M$18</f>
        <v>610027.99630194379</v>
      </c>
      <c r="F16" s="343">
        <f t="shared" si="1"/>
        <v>480000</v>
      </c>
      <c r="H16" s="336"/>
      <c r="I16" s="336">
        <f>I15*0.2</f>
        <v>480000</v>
      </c>
      <c r="J16" s="336"/>
      <c r="K16" s="336"/>
      <c r="L16" s="336"/>
      <c r="M16" s="336"/>
      <c r="N16" s="336"/>
      <c r="O16" s="336"/>
      <c r="P16" s="336"/>
      <c r="Q16" s="336"/>
      <c r="T16" s="337"/>
    </row>
    <row r="17" spans="1:23" ht="16.05" customHeight="1" x14ac:dyDescent="0.25">
      <c r="B17" s="667" t="s">
        <v>355</v>
      </c>
      <c r="C17" s="668"/>
      <c r="D17" s="669"/>
      <c r="E17" s="569">
        <f>F17*Escalation!$M$18</f>
        <v>30501.399815097189</v>
      </c>
      <c r="F17" s="343">
        <f t="shared" si="1"/>
        <v>24000</v>
      </c>
      <c r="H17" s="336"/>
      <c r="I17" s="336">
        <f>I15*0.01</f>
        <v>24000</v>
      </c>
      <c r="J17" s="336"/>
      <c r="K17" s="336"/>
      <c r="L17" s="336"/>
      <c r="M17" s="336"/>
      <c r="N17" s="336"/>
      <c r="O17" s="336"/>
      <c r="P17" s="336"/>
      <c r="Q17" s="336"/>
      <c r="T17" s="337"/>
    </row>
    <row r="18" spans="1:23" ht="16.05" customHeight="1" x14ac:dyDescent="0.25">
      <c r="B18" s="667" t="s">
        <v>356</v>
      </c>
      <c r="C18" s="668"/>
      <c r="D18" s="669"/>
      <c r="E18" s="569">
        <f>F18*Escalation!$M$18</f>
        <v>0</v>
      </c>
      <c r="F18" s="343">
        <f t="shared" si="1"/>
        <v>0</v>
      </c>
      <c r="H18" s="336"/>
      <c r="I18" s="336"/>
      <c r="J18" s="336"/>
      <c r="K18" s="336"/>
      <c r="L18" s="336"/>
      <c r="M18" s="336"/>
      <c r="N18" s="336"/>
      <c r="O18" s="336"/>
      <c r="P18" s="336"/>
      <c r="Q18" s="336"/>
      <c r="T18" s="337"/>
    </row>
    <row r="19" spans="1:23" ht="16.05" customHeight="1" x14ac:dyDescent="0.25">
      <c r="B19" s="667" t="s">
        <v>357</v>
      </c>
      <c r="C19" s="668"/>
      <c r="D19" s="669"/>
      <c r="E19" s="569">
        <f>F19*Escalation!$M$18</f>
        <v>482812.83483711898</v>
      </c>
      <c r="F19" s="343">
        <f t="shared" si="1"/>
        <v>379900.86049609503</v>
      </c>
      <c r="H19" s="336"/>
      <c r="I19" s="336">
        <f>I12*0.01</f>
        <v>379900.86049609503</v>
      </c>
      <c r="J19" s="336"/>
      <c r="K19" s="336"/>
      <c r="L19" s="336"/>
      <c r="M19" s="336"/>
      <c r="N19" s="336"/>
      <c r="O19" s="336"/>
      <c r="P19" s="336"/>
      <c r="Q19" s="336"/>
      <c r="T19" s="337"/>
    </row>
    <row r="20" spans="1:23" ht="16.05" customHeight="1" x14ac:dyDescent="0.25">
      <c r="B20" s="667" t="s">
        <v>358</v>
      </c>
      <c r="C20" s="668"/>
      <c r="D20" s="669"/>
      <c r="E20" s="569">
        <f>F20*Escalation!$M$18</f>
        <v>0</v>
      </c>
      <c r="F20" s="343">
        <f t="shared" si="1"/>
        <v>0</v>
      </c>
      <c r="H20" s="336"/>
      <c r="I20" s="336">
        <f>[10]Overview!D42*5000</f>
        <v>0</v>
      </c>
      <c r="J20" s="336"/>
      <c r="K20" s="336"/>
      <c r="L20" s="336"/>
      <c r="M20" s="336"/>
      <c r="N20" s="336"/>
      <c r="O20" s="336"/>
      <c r="P20" s="336"/>
      <c r="Q20" s="336"/>
      <c r="T20" s="337"/>
    </row>
    <row r="21" spans="1:23" ht="16.05" customHeight="1" x14ac:dyDescent="0.25">
      <c r="B21" s="667" t="s">
        <v>359</v>
      </c>
      <c r="C21" s="668"/>
      <c r="D21" s="669"/>
      <c r="E21" s="569">
        <f>F21*Escalation!$M$18</f>
        <v>0</v>
      </c>
      <c r="F21" s="343">
        <f t="shared" si="1"/>
        <v>0</v>
      </c>
      <c r="H21" s="336"/>
      <c r="I21" s="336">
        <f>[10]Overview!D42*4000</f>
        <v>0</v>
      </c>
      <c r="J21" s="336"/>
      <c r="K21" s="336"/>
      <c r="L21" s="336"/>
      <c r="M21" s="336"/>
      <c r="N21" s="336"/>
      <c r="O21" s="336"/>
      <c r="P21" s="336"/>
      <c r="Q21" s="336"/>
      <c r="T21" s="337"/>
      <c r="W21" s="14"/>
    </row>
    <row r="22" spans="1:23" ht="16.05" customHeight="1" x14ac:dyDescent="0.25">
      <c r="B22" s="667" t="s">
        <v>360</v>
      </c>
      <c r="C22" s="668"/>
      <c r="D22" s="669"/>
      <c r="E22" s="569">
        <f>F22*Escalation!$M$18</f>
        <v>0</v>
      </c>
      <c r="F22" s="343">
        <f t="shared" si="1"/>
        <v>0</v>
      </c>
      <c r="H22" s="336"/>
      <c r="I22" s="336">
        <f>I21*0.5</f>
        <v>0</v>
      </c>
      <c r="J22" s="336"/>
      <c r="K22" s="336"/>
      <c r="L22" s="336"/>
      <c r="M22" s="336"/>
      <c r="N22" s="336"/>
      <c r="O22" s="336"/>
      <c r="P22" s="336"/>
      <c r="Q22" s="336"/>
      <c r="T22" s="337"/>
    </row>
    <row r="23" spans="1:23" ht="16.05" customHeight="1" x14ac:dyDescent="0.25">
      <c r="B23" s="667" t="s">
        <v>361</v>
      </c>
      <c r="C23" s="668"/>
      <c r="D23" s="669"/>
      <c r="E23" s="569">
        <f>F23*Escalation!$M$18</f>
        <v>756787.09901075892</v>
      </c>
      <c r="F23" s="343">
        <f t="shared" si="1"/>
        <v>595477.27272727271</v>
      </c>
      <c r="H23" s="336"/>
      <c r="I23" s="336">
        <f>Overview!C38*3</f>
        <v>595477.27272727271</v>
      </c>
      <c r="J23" s="336"/>
      <c r="K23" s="336"/>
      <c r="L23" s="336"/>
      <c r="M23" s="336"/>
      <c r="N23" s="336"/>
      <c r="O23" s="336"/>
      <c r="P23" s="336"/>
      <c r="Q23" s="336"/>
      <c r="T23" s="337"/>
    </row>
    <row r="24" spans="1:23" ht="16.05" customHeight="1" x14ac:dyDescent="0.25">
      <c r="B24" s="667" t="s">
        <v>362</v>
      </c>
      <c r="C24" s="668"/>
      <c r="D24" s="669"/>
      <c r="E24" s="569">
        <f>F24*Escalation!$M$18</f>
        <v>0</v>
      </c>
      <c r="F24" s="343">
        <f t="shared" si="1"/>
        <v>0</v>
      </c>
      <c r="H24" s="336"/>
      <c r="I24" s="336">
        <v>0</v>
      </c>
      <c r="J24" s="336"/>
      <c r="K24" s="336"/>
      <c r="L24" s="336"/>
      <c r="M24" s="336"/>
      <c r="N24" s="336"/>
      <c r="O24" s="336"/>
      <c r="P24" s="336"/>
      <c r="Q24" s="336"/>
      <c r="T24" s="345"/>
    </row>
    <row r="25" spans="1:23" ht="16.05" customHeight="1" x14ac:dyDescent="0.25">
      <c r="B25" s="667" t="s">
        <v>363</v>
      </c>
      <c r="C25" s="668"/>
      <c r="D25" s="669"/>
      <c r="E25" s="569">
        <f>F25*Escalation!$M$18</f>
        <v>0</v>
      </c>
      <c r="F25" s="343">
        <f t="shared" si="1"/>
        <v>0</v>
      </c>
      <c r="H25" s="336">
        <v>0</v>
      </c>
      <c r="I25" s="336"/>
      <c r="J25" s="336"/>
      <c r="K25" s="336"/>
      <c r="L25" s="336"/>
      <c r="M25" s="336"/>
      <c r="N25" s="336"/>
      <c r="O25" s="336"/>
      <c r="P25" s="336"/>
      <c r="Q25" s="336"/>
      <c r="T25" s="345"/>
    </row>
    <row r="26" spans="1:23" ht="16.05" customHeight="1" x14ac:dyDescent="0.25">
      <c r="B26" s="673" t="s">
        <v>364</v>
      </c>
      <c r="C26" s="668"/>
      <c r="D26" s="669"/>
      <c r="E26" s="569">
        <f>F26*Escalation!$M$18</f>
        <v>0</v>
      </c>
      <c r="F26" s="343"/>
      <c r="H26" s="343"/>
      <c r="I26" s="343"/>
      <c r="J26" s="343"/>
      <c r="K26" s="343"/>
      <c r="L26" s="343"/>
      <c r="M26" s="343"/>
      <c r="N26" s="343"/>
      <c r="O26" s="343"/>
      <c r="P26" s="343"/>
      <c r="Q26" s="343"/>
      <c r="T26" s="337"/>
    </row>
    <row r="27" spans="1:23" ht="16.05" customHeight="1" x14ac:dyDescent="0.25">
      <c r="B27" s="346"/>
      <c r="C27" s="665" t="s">
        <v>1185</v>
      </c>
      <c r="D27" s="666"/>
      <c r="E27" s="569">
        <f>F27*Escalation!$M$18</f>
        <v>50835.666358495313</v>
      </c>
      <c r="F27" s="343">
        <f>SUM(H27:Q27)</f>
        <v>40000</v>
      </c>
      <c r="G27" s="316"/>
      <c r="H27" s="336"/>
      <c r="I27" s="336">
        <v>40000</v>
      </c>
      <c r="J27" s="336"/>
      <c r="K27" s="336"/>
      <c r="L27" s="336"/>
      <c r="M27" s="336"/>
      <c r="N27" s="336"/>
      <c r="O27" s="336"/>
      <c r="P27" s="336"/>
      <c r="Q27" s="336"/>
      <c r="T27" s="337"/>
    </row>
    <row r="28" spans="1:23" ht="16.05" customHeight="1" thickBot="1" x14ac:dyDescent="0.3">
      <c r="B28" s="347"/>
      <c r="C28" s="665"/>
      <c r="D28" s="666"/>
      <c r="E28" s="569">
        <f>F28*Escalation!$M$18</f>
        <v>0</v>
      </c>
      <c r="F28" s="343">
        <f>SUM(H28:Q28)</f>
        <v>0</v>
      </c>
      <c r="G28" s="316"/>
      <c r="H28" s="336"/>
      <c r="I28" s="336"/>
      <c r="J28" s="336"/>
      <c r="K28" s="336"/>
      <c r="L28" s="336"/>
      <c r="M28" s="336"/>
      <c r="N28" s="336"/>
      <c r="O28" s="336"/>
      <c r="P28" s="336"/>
      <c r="Q28" s="336"/>
      <c r="T28" s="337"/>
    </row>
    <row r="29" spans="1:23" ht="16.05" customHeight="1" thickBot="1" x14ac:dyDescent="0.3">
      <c r="B29" s="670" t="s">
        <v>382</v>
      </c>
      <c r="C29" s="683"/>
      <c r="D29" s="684"/>
      <c r="E29" s="566">
        <f>SUM(E15:E28)</f>
        <v>4981104.9778331332</v>
      </c>
      <c r="F29" s="341">
        <f>SUM(H29:Q29)</f>
        <v>3919378.1332233679</v>
      </c>
      <c r="G29" s="316"/>
      <c r="H29" s="342">
        <f t="shared" ref="H29:Q29" si="2">SUM(H15:H28)</f>
        <v>0</v>
      </c>
      <c r="I29" s="342">
        <f t="shared" si="2"/>
        <v>3919378.1332233679</v>
      </c>
      <c r="J29" s="342">
        <f t="shared" si="2"/>
        <v>0</v>
      </c>
      <c r="K29" s="342">
        <f t="shared" si="2"/>
        <v>0</v>
      </c>
      <c r="L29" s="342">
        <f t="shared" si="2"/>
        <v>0</v>
      </c>
      <c r="M29" s="342">
        <f t="shared" si="2"/>
        <v>0</v>
      </c>
      <c r="N29" s="342">
        <f t="shared" si="2"/>
        <v>0</v>
      </c>
      <c r="O29" s="342">
        <f t="shared" si="2"/>
        <v>0</v>
      </c>
      <c r="P29" s="342">
        <f t="shared" si="2"/>
        <v>0</v>
      </c>
      <c r="Q29" s="342">
        <f t="shared" si="2"/>
        <v>0</v>
      </c>
      <c r="S29" s="330">
        <f>F29/F12</f>
        <v>0.10316844579149498</v>
      </c>
      <c r="T29" s="337"/>
    </row>
    <row r="30" spans="1:23" ht="16.05" customHeight="1" x14ac:dyDescent="0.25">
      <c r="B30" s="674"/>
      <c r="C30" s="675"/>
      <c r="D30" s="675"/>
      <c r="E30" s="565"/>
      <c r="F30" s="334"/>
      <c r="G30" s="348"/>
      <c r="H30" s="334"/>
      <c r="I30" s="334"/>
      <c r="J30" s="334"/>
      <c r="K30" s="334"/>
      <c r="L30" s="334"/>
      <c r="M30" s="334"/>
      <c r="N30" s="334"/>
      <c r="O30" s="334"/>
      <c r="P30" s="334"/>
      <c r="Q30" s="334"/>
    </row>
    <row r="31" spans="1:23" ht="16.05" customHeight="1" x14ac:dyDescent="0.25">
      <c r="A31" s="678" t="s">
        <v>351</v>
      </c>
      <c r="B31" s="640"/>
      <c r="C31" s="640"/>
      <c r="D31" s="640"/>
      <c r="E31" s="567"/>
      <c r="F31" s="335"/>
      <c r="G31" s="348"/>
      <c r="H31" s="335"/>
      <c r="I31" s="335"/>
      <c r="J31" s="335"/>
      <c r="K31" s="335"/>
      <c r="L31" s="335"/>
      <c r="M31" s="335"/>
      <c r="N31" s="335"/>
      <c r="O31" s="335"/>
      <c r="P31" s="335"/>
      <c r="Q31" s="335"/>
    </row>
    <row r="32" spans="1:23" ht="16.05" customHeight="1" x14ac:dyDescent="0.25">
      <c r="B32" s="685" t="s">
        <v>365</v>
      </c>
      <c r="C32" s="685"/>
      <c r="D32" s="685"/>
      <c r="E32" s="569">
        <f>F32*Escalation!M20</f>
        <v>132223.56819844633</v>
      </c>
      <c r="F32" s="343">
        <f>SUM(H32:Q32)</f>
        <v>104040.00000000001</v>
      </c>
      <c r="G32" s="316"/>
      <c r="H32" s="336"/>
      <c r="I32" s="336">
        <f>((24*173.4)*0.5)*50</f>
        <v>104040.00000000001</v>
      </c>
      <c r="J32" s="336"/>
      <c r="K32" s="336"/>
      <c r="L32" s="336"/>
      <c r="M32" s="336"/>
      <c r="N32" s="336"/>
      <c r="O32" s="336"/>
      <c r="P32" s="336"/>
      <c r="Q32" s="336"/>
      <c r="T32" s="345"/>
    </row>
    <row r="33" spans="1:20" ht="16.05" customHeight="1" thickBot="1" x14ac:dyDescent="0.3">
      <c r="B33" s="667" t="s">
        <v>366</v>
      </c>
      <c r="C33" s="691"/>
      <c r="D33" s="691"/>
      <c r="E33" s="569">
        <f>F33*Escalation!M20</f>
        <v>113.26491539835868</v>
      </c>
      <c r="F33" s="343">
        <f>SUM(H33:Q33)</f>
        <v>89.12240048127596</v>
      </c>
      <c r="G33" s="316"/>
      <c r="H33" s="340"/>
      <c r="I33" s="340">
        <f>Blender!E12*1</f>
        <v>89.12240048127596</v>
      </c>
      <c r="J33" s="340"/>
      <c r="K33" s="340"/>
      <c r="L33" s="340"/>
      <c r="M33" s="340"/>
      <c r="N33" s="340"/>
      <c r="O33" s="340"/>
      <c r="P33" s="340"/>
      <c r="Q33" s="340"/>
      <c r="T33" s="345"/>
    </row>
    <row r="34" spans="1:20" ht="16.05" customHeight="1" thickBot="1" x14ac:dyDescent="0.3">
      <c r="B34" s="670" t="s">
        <v>384</v>
      </c>
      <c r="C34" s="683"/>
      <c r="D34" s="684"/>
      <c r="E34" s="566">
        <f>SUM(E32:E33)</f>
        <v>132336.83311384468</v>
      </c>
      <c r="F34" s="341">
        <f>SUM(H34:Q34)</f>
        <v>104129.1224004813</v>
      </c>
      <c r="G34" s="316"/>
      <c r="H34" s="342">
        <f>SUM(H32:H33)</f>
        <v>0</v>
      </c>
      <c r="I34" s="342">
        <f t="shared" ref="I34:Q34" si="3">SUM(I32:I33)</f>
        <v>104129.1224004813</v>
      </c>
      <c r="J34" s="342">
        <f t="shared" si="3"/>
        <v>0</v>
      </c>
      <c r="K34" s="342">
        <f t="shared" si="3"/>
        <v>0</v>
      </c>
      <c r="L34" s="342">
        <f t="shared" si="3"/>
        <v>0</v>
      </c>
      <c r="M34" s="342">
        <f t="shared" si="3"/>
        <v>0</v>
      </c>
      <c r="N34" s="342">
        <f t="shared" si="3"/>
        <v>0</v>
      </c>
      <c r="O34" s="342">
        <f t="shared" si="3"/>
        <v>0</v>
      </c>
      <c r="P34" s="342">
        <f t="shared" si="3"/>
        <v>0</v>
      </c>
      <c r="Q34" s="342">
        <f t="shared" si="3"/>
        <v>0</v>
      </c>
      <c r="S34" s="330">
        <f>F34/F12</f>
        <v>2.7409551603674673E-3</v>
      </c>
      <c r="T34" s="337"/>
    </row>
    <row r="35" spans="1:20" ht="16.05" customHeight="1" x14ac:dyDescent="0.25">
      <c r="B35" s="678"/>
      <c r="C35" s="688"/>
      <c r="D35" s="688"/>
      <c r="E35" s="565"/>
      <c r="F35" s="334"/>
      <c r="G35" s="348"/>
      <c r="H35" s="334"/>
      <c r="I35" s="334"/>
      <c r="J35" s="334"/>
      <c r="K35" s="334"/>
      <c r="L35" s="334"/>
      <c r="M35" s="334"/>
      <c r="N35" s="334"/>
      <c r="O35" s="334"/>
      <c r="P35" s="334"/>
      <c r="Q35" s="334"/>
    </row>
    <row r="36" spans="1:20" ht="16.05" customHeight="1" x14ac:dyDescent="0.25">
      <c r="A36" s="678" t="s">
        <v>379</v>
      </c>
      <c r="B36" s="640"/>
      <c r="C36" s="640"/>
      <c r="D36" s="640"/>
      <c r="E36" s="567"/>
      <c r="F36" s="335"/>
      <c r="G36" s="348"/>
      <c r="H36" s="335"/>
      <c r="I36" s="335"/>
      <c r="J36" s="335"/>
      <c r="K36" s="335"/>
      <c r="L36" s="335"/>
      <c r="M36" s="335"/>
      <c r="N36" s="335"/>
      <c r="O36" s="335"/>
      <c r="P36" s="335"/>
      <c r="Q36" s="335"/>
    </row>
    <row r="37" spans="1:20" ht="16.05" customHeight="1" x14ac:dyDescent="0.25">
      <c r="B37" s="685" t="s">
        <v>367</v>
      </c>
      <c r="C37" s="685"/>
      <c r="D37" s="685"/>
      <c r="E37" s="569">
        <f>F37*Escalation!$M$22</f>
        <v>340212.61353759404</v>
      </c>
      <c r="F37" s="343">
        <f>SUM(H37:Q37)</f>
        <v>267696</v>
      </c>
      <c r="G37" s="316"/>
      <c r="H37" s="336">
        <v>18000</v>
      </c>
      <c r="I37" s="336">
        <v>249696.00000000003</v>
      </c>
      <c r="J37" s="336"/>
      <c r="K37" s="336"/>
      <c r="L37" s="336"/>
      <c r="M37" s="336"/>
      <c r="N37" s="336"/>
      <c r="O37" s="336"/>
      <c r="P37" s="336"/>
      <c r="Q37" s="336"/>
      <c r="T37" s="345"/>
    </row>
    <row r="38" spans="1:20" ht="16.05" customHeight="1" x14ac:dyDescent="0.25">
      <c r="B38" s="667" t="s">
        <v>378</v>
      </c>
      <c r="C38" s="691"/>
      <c r="D38" s="691"/>
      <c r="E38" s="569">
        <f>F38*Escalation!$M$22</f>
        <v>0</v>
      </c>
      <c r="F38" s="343"/>
      <c r="G38" s="316"/>
      <c r="H38" s="343"/>
      <c r="I38" s="343"/>
      <c r="J38" s="343"/>
      <c r="K38" s="343"/>
      <c r="L38" s="343"/>
      <c r="M38" s="343"/>
      <c r="N38" s="343"/>
      <c r="O38" s="343"/>
      <c r="P38" s="343"/>
      <c r="Q38" s="343"/>
      <c r="T38" s="337"/>
    </row>
    <row r="39" spans="1:20" ht="16.05" customHeight="1" x14ac:dyDescent="0.25">
      <c r="B39" s="349"/>
      <c r="C39" s="686"/>
      <c r="D39" s="686"/>
      <c r="E39" s="569">
        <f>F39*Escalation!$M$22</f>
        <v>0</v>
      </c>
      <c r="F39" s="343">
        <f t="shared" ref="F39:F51" si="4">SUM(H39:Q39)</f>
        <v>0</v>
      </c>
      <c r="G39" s="316"/>
      <c r="H39" s="336"/>
      <c r="I39" s="336"/>
      <c r="J39" s="336"/>
      <c r="K39" s="336"/>
      <c r="L39" s="336"/>
      <c r="M39" s="336"/>
      <c r="N39" s="336"/>
      <c r="O39" s="336"/>
      <c r="P39" s="336"/>
      <c r="Q39" s="336"/>
      <c r="T39" s="337"/>
    </row>
    <row r="40" spans="1:20" ht="16.05" customHeight="1" x14ac:dyDescent="0.25">
      <c r="B40" s="349"/>
      <c r="C40" s="665"/>
      <c r="D40" s="666"/>
      <c r="E40" s="569">
        <f>F40*Escalation!$M$22</f>
        <v>0</v>
      </c>
      <c r="F40" s="343">
        <f t="shared" si="4"/>
        <v>0</v>
      </c>
      <c r="G40" s="316"/>
      <c r="H40" s="336"/>
      <c r="I40" s="336"/>
      <c r="J40" s="336"/>
      <c r="K40" s="336"/>
      <c r="L40" s="336"/>
      <c r="M40" s="336"/>
      <c r="N40" s="336"/>
      <c r="O40" s="336"/>
      <c r="P40" s="336"/>
      <c r="Q40" s="336"/>
      <c r="T40" s="337"/>
    </row>
    <row r="41" spans="1:20" ht="16.05" customHeight="1" x14ac:dyDescent="0.25">
      <c r="B41" s="685" t="s">
        <v>1181</v>
      </c>
      <c r="C41" s="685"/>
      <c r="D41" s="685"/>
      <c r="E41" s="569">
        <f>F41*Escalation!$M$22</f>
        <v>1448438.5045113568</v>
      </c>
      <c r="F41" s="343">
        <f t="shared" si="4"/>
        <v>1139702.581488285</v>
      </c>
      <c r="G41" s="316"/>
      <c r="H41" s="336"/>
      <c r="I41" s="336">
        <f>I12*0.03</f>
        <v>1139702.581488285</v>
      </c>
      <c r="J41" s="336"/>
      <c r="K41" s="336"/>
      <c r="L41" s="336"/>
      <c r="M41" s="336"/>
      <c r="N41" s="336"/>
      <c r="O41" s="336"/>
      <c r="P41" s="336"/>
      <c r="Q41" s="336"/>
      <c r="T41" s="337"/>
    </row>
    <row r="42" spans="1:20" ht="16.05" customHeight="1" x14ac:dyDescent="0.25">
      <c r="B42" s="667" t="s">
        <v>9</v>
      </c>
      <c r="C42" s="691"/>
      <c r="D42" s="692"/>
      <c r="E42" s="569">
        <f>F42*Escalation!$M$22</f>
        <v>3812.6749768871487</v>
      </c>
      <c r="F42" s="343">
        <f t="shared" si="4"/>
        <v>3000</v>
      </c>
      <c r="G42" s="316"/>
      <c r="H42" s="336"/>
      <c r="I42" s="336">
        <v>3000</v>
      </c>
      <c r="J42" s="336"/>
      <c r="K42" s="336"/>
      <c r="L42" s="336"/>
      <c r="M42" s="336"/>
      <c r="N42" s="336"/>
      <c r="O42" s="336"/>
      <c r="P42" s="336"/>
      <c r="Q42" s="336"/>
      <c r="T42" s="337"/>
    </row>
    <row r="43" spans="1:20" ht="16.05" customHeight="1" x14ac:dyDescent="0.25">
      <c r="B43" s="685" t="s">
        <v>369</v>
      </c>
      <c r="C43" s="685" t="s">
        <v>11</v>
      </c>
      <c r="D43" s="685"/>
      <c r="E43" s="569">
        <f>F43*Escalation!$M$22</f>
        <v>16.989737309753799</v>
      </c>
      <c r="F43" s="343">
        <f t="shared" si="4"/>
        <v>13.368360072191393</v>
      </c>
      <c r="G43" s="316"/>
      <c r="H43" s="336"/>
      <c r="I43" s="336">
        <f>(Blender!E12)*0.15</f>
        <v>13.368360072191393</v>
      </c>
      <c r="J43" s="336"/>
      <c r="K43" s="336"/>
      <c r="L43" s="336"/>
      <c r="M43" s="336"/>
      <c r="N43" s="336"/>
      <c r="O43" s="336"/>
      <c r="P43" s="336"/>
      <c r="Q43" s="336"/>
      <c r="T43" s="337"/>
    </row>
    <row r="44" spans="1:20" ht="16.05" customHeight="1" x14ac:dyDescent="0.25">
      <c r="B44" s="685" t="s">
        <v>370</v>
      </c>
      <c r="C44" s="685" t="s">
        <v>13</v>
      </c>
      <c r="D44" s="685"/>
      <c r="E44" s="569">
        <f>F44*Escalation!$M$22</f>
        <v>4817.5371896768984</v>
      </c>
      <c r="F44" s="343">
        <f t="shared" si="4"/>
        <v>3790.6749609248109</v>
      </c>
      <c r="G44" s="316"/>
      <c r="H44" s="336"/>
      <c r="I44" s="336">
        <f>(Blender!E10*10)</f>
        <v>3790.6749609248109</v>
      </c>
      <c r="J44" s="336"/>
      <c r="K44" s="336"/>
      <c r="L44" s="336"/>
      <c r="M44" s="336"/>
      <c r="N44" s="336"/>
      <c r="O44" s="336"/>
      <c r="P44" s="336"/>
      <c r="Q44" s="336"/>
      <c r="T44" s="337"/>
    </row>
    <row r="45" spans="1:20" ht="16.05" customHeight="1" x14ac:dyDescent="0.25">
      <c r="B45" s="685" t="s">
        <v>371</v>
      </c>
      <c r="C45" s="685"/>
      <c r="D45" s="685"/>
      <c r="E45" s="569">
        <f>F45*Escalation!$M$22</f>
        <v>416893.81891451596</v>
      </c>
      <c r="F45" s="343">
        <f t="shared" si="4"/>
        <v>328032.53996873985</v>
      </c>
      <c r="G45" s="316"/>
      <c r="H45" s="336"/>
      <c r="I45" s="336">
        <f>((Blender!E10)*8)+(650*500)</f>
        <v>328032.53996873985</v>
      </c>
      <c r="J45" s="336"/>
      <c r="K45" s="336"/>
      <c r="L45" s="336"/>
      <c r="M45" s="336"/>
      <c r="N45" s="336"/>
      <c r="O45" s="336"/>
      <c r="P45" s="336"/>
      <c r="Q45" s="336"/>
      <c r="T45" s="345"/>
    </row>
    <row r="46" spans="1:20" ht="16.05" customHeight="1" x14ac:dyDescent="0.25">
      <c r="B46" s="685" t="s">
        <v>10</v>
      </c>
      <c r="C46" s="685"/>
      <c r="D46" s="685"/>
      <c r="E46" s="569">
        <f>F46*Escalation!$M$22</f>
        <v>16.989737309753799</v>
      </c>
      <c r="F46" s="343">
        <f t="shared" si="4"/>
        <v>13.368360072191393</v>
      </c>
      <c r="G46" s="316"/>
      <c r="H46" s="336"/>
      <c r="I46" s="336">
        <f>((Blender!E12*0.15))</f>
        <v>13.368360072191393</v>
      </c>
      <c r="J46" s="336"/>
      <c r="K46" s="336"/>
      <c r="L46" s="336"/>
      <c r="M46" s="336"/>
      <c r="N46" s="336"/>
      <c r="O46" s="336"/>
      <c r="P46" s="336"/>
      <c r="Q46" s="336"/>
      <c r="T46" s="337"/>
    </row>
    <row r="47" spans="1:20" ht="16.05" customHeight="1" x14ac:dyDescent="0.25">
      <c r="B47" s="685" t="s">
        <v>372</v>
      </c>
      <c r="C47" s="685" t="s">
        <v>7</v>
      </c>
      <c r="D47" s="685"/>
      <c r="E47" s="569">
        <f>F47*Escalation!$M$22</f>
        <v>0</v>
      </c>
      <c r="F47" s="343">
        <f t="shared" si="4"/>
        <v>0</v>
      </c>
      <c r="G47" s="316"/>
      <c r="H47" s="336"/>
      <c r="I47" s="336"/>
      <c r="J47" s="336"/>
      <c r="K47" s="336"/>
      <c r="L47" s="336"/>
      <c r="M47" s="336"/>
      <c r="N47" s="336"/>
      <c r="O47" s="336"/>
      <c r="P47" s="336"/>
      <c r="Q47" s="336"/>
      <c r="T47" s="337"/>
    </row>
    <row r="48" spans="1:20" ht="16.05" customHeight="1" x14ac:dyDescent="0.25">
      <c r="B48" s="685" t="s">
        <v>373</v>
      </c>
      <c r="C48" s="685" t="s">
        <v>8</v>
      </c>
      <c r="D48" s="685"/>
      <c r="E48" s="569">
        <f>F48*Escalation!$M$22</f>
        <v>4817.5371896768984</v>
      </c>
      <c r="F48" s="343">
        <f t="shared" si="4"/>
        <v>3790.6749609248109</v>
      </c>
      <c r="G48" s="316"/>
      <c r="H48" s="336"/>
      <c r="I48" s="336">
        <f>Blender!E10*10</f>
        <v>3790.6749609248109</v>
      </c>
      <c r="J48" s="336"/>
      <c r="K48" s="336"/>
      <c r="L48" s="336"/>
      <c r="M48" s="336"/>
      <c r="N48" s="336"/>
      <c r="O48" s="336"/>
      <c r="P48" s="336"/>
      <c r="Q48" s="336"/>
      <c r="T48" s="337"/>
    </row>
    <row r="49" spans="1:37" ht="16.05" customHeight="1" x14ac:dyDescent="0.25">
      <c r="B49" s="685" t="s">
        <v>374</v>
      </c>
      <c r="C49" s="685"/>
      <c r="D49" s="685"/>
      <c r="E49" s="569">
        <f>F49*Escalation!$M$22</f>
        <v>95316.87442217872</v>
      </c>
      <c r="F49" s="343">
        <f t="shared" si="4"/>
        <v>75000</v>
      </c>
      <c r="G49" s="316"/>
      <c r="H49" s="336"/>
      <c r="I49" s="336">
        <v>75000</v>
      </c>
      <c r="J49" s="336"/>
      <c r="K49" s="336"/>
      <c r="L49" s="336"/>
      <c r="M49" s="336"/>
      <c r="N49" s="336"/>
      <c r="O49" s="336"/>
      <c r="P49" s="336"/>
      <c r="Q49" s="336"/>
      <c r="T49" s="345"/>
    </row>
    <row r="50" spans="1:37" ht="16.05" customHeight="1" x14ac:dyDescent="0.25">
      <c r="B50" s="685" t="s">
        <v>375</v>
      </c>
      <c r="C50" s="685"/>
      <c r="D50" s="685"/>
      <c r="E50" s="569">
        <f>F50*Escalation!$M$22</f>
        <v>254178.33179247659</v>
      </c>
      <c r="F50" s="343">
        <f t="shared" si="4"/>
        <v>200000</v>
      </c>
      <c r="G50" s="316"/>
      <c r="H50" s="336"/>
      <c r="I50" s="336">
        <f>2000*100</f>
        <v>200000</v>
      </c>
      <c r="J50" s="336"/>
      <c r="K50" s="336"/>
      <c r="L50" s="336"/>
      <c r="M50" s="336"/>
      <c r="N50" s="336"/>
      <c r="O50" s="336"/>
      <c r="P50" s="336"/>
      <c r="Q50" s="336"/>
      <c r="T50" s="345"/>
    </row>
    <row r="51" spans="1:37" ht="16.05" customHeight="1" x14ac:dyDescent="0.25">
      <c r="B51" s="685" t="s">
        <v>376</v>
      </c>
      <c r="C51" s="685"/>
      <c r="D51" s="685"/>
      <c r="E51" s="569">
        <f>F51*Escalation!$M$22</f>
        <v>1445.2611569030694</v>
      </c>
      <c r="F51" s="343">
        <f t="shared" si="4"/>
        <v>1137.2024882774431</v>
      </c>
      <c r="G51" s="316"/>
      <c r="H51" s="336"/>
      <c r="I51" s="336">
        <f>(Blender!E10)*3</f>
        <v>1137.2024882774431</v>
      </c>
      <c r="J51" s="336"/>
      <c r="K51" s="336"/>
      <c r="L51" s="336"/>
      <c r="M51" s="336"/>
      <c r="N51" s="336"/>
      <c r="O51" s="336"/>
      <c r="P51" s="336"/>
      <c r="Q51" s="336"/>
      <c r="T51" s="337"/>
    </row>
    <row r="52" spans="1:37" ht="16.05" customHeight="1" x14ac:dyDescent="0.25">
      <c r="B52" s="685" t="s">
        <v>377</v>
      </c>
      <c r="C52" s="685"/>
      <c r="D52" s="685"/>
      <c r="E52" s="569">
        <f>F52*Escalation!$M$22</f>
        <v>0</v>
      </c>
      <c r="F52" s="343"/>
      <c r="G52" s="316"/>
      <c r="H52" s="343"/>
      <c r="I52" s="343"/>
      <c r="J52" s="343"/>
      <c r="K52" s="343"/>
      <c r="L52" s="343"/>
      <c r="M52" s="343"/>
      <c r="N52" s="343"/>
      <c r="O52" s="343"/>
      <c r="P52" s="343"/>
      <c r="Q52" s="343"/>
      <c r="T52" s="337"/>
    </row>
    <row r="53" spans="1:37" ht="16.05" customHeight="1" x14ac:dyDescent="0.25">
      <c r="B53" s="350"/>
      <c r="C53" s="686" t="s">
        <v>1263</v>
      </c>
      <c r="D53" s="686"/>
      <c r="E53" s="569">
        <f>F53*Escalation!$M$22</f>
        <v>15568.422822289191</v>
      </c>
      <c r="F53" s="343">
        <f>SUM(H53:Q53)</f>
        <v>12250</v>
      </c>
      <c r="G53" s="316"/>
      <c r="H53" s="336">
        <v>12250</v>
      </c>
      <c r="I53" s="336"/>
      <c r="J53" s="336"/>
      <c r="K53" s="336"/>
      <c r="L53" s="336"/>
      <c r="M53" s="336"/>
      <c r="N53" s="336"/>
      <c r="O53" s="336"/>
      <c r="P53" s="336"/>
      <c r="Q53" s="336"/>
      <c r="T53" s="345"/>
    </row>
    <row r="54" spans="1:37" ht="16.05" customHeight="1" thickBot="1" x14ac:dyDescent="0.3">
      <c r="B54" s="350"/>
      <c r="C54" s="665"/>
      <c r="D54" s="666"/>
      <c r="E54" s="569">
        <f>F54*Escalation!$M$22</f>
        <v>0</v>
      </c>
      <c r="F54" s="343">
        <f>SUM(H54:Q54)</f>
        <v>0</v>
      </c>
      <c r="G54" s="316"/>
      <c r="H54" s="336"/>
      <c r="I54" s="336"/>
      <c r="J54" s="336"/>
      <c r="K54" s="336"/>
      <c r="L54" s="336"/>
      <c r="M54" s="336"/>
      <c r="N54" s="336"/>
      <c r="O54" s="336"/>
      <c r="P54" s="336"/>
      <c r="Q54" s="336"/>
      <c r="T54" s="337"/>
    </row>
    <row r="55" spans="1:37" ht="16.05" customHeight="1" thickBot="1" x14ac:dyDescent="0.3">
      <c r="B55" s="670" t="s">
        <v>385</v>
      </c>
      <c r="C55" s="683"/>
      <c r="D55" s="684"/>
      <c r="E55" s="566">
        <f>SUM(E37:E54)</f>
        <v>2585535.5559881749</v>
      </c>
      <c r="F55" s="341">
        <f>SUM(H55:Q55)</f>
        <v>2034426.4105872959</v>
      </c>
      <c r="G55" s="316"/>
      <c r="H55" s="342">
        <f t="shared" ref="H55:Q55" si="5">SUM(H37:H54)</f>
        <v>30250</v>
      </c>
      <c r="I55" s="342">
        <f t="shared" si="5"/>
        <v>2004176.4105872959</v>
      </c>
      <c r="J55" s="342">
        <f t="shared" si="5"/>
        <v>0</v>
      </c>
      <c r="K55" s="342">
        <f t="shared" si="5"/>
        <v>0</v>
      </c>
      <c r="L55" s="342">
        <f t="shared" si="5"/>
        <v>0</v>
      </c>
      <c r="M55" s="342">
        <f t="shared" si="5"/>
        <v>0</v>
      </c>
      <c r="N55" s="342">
        <f t="shared" si="5"/>
        <v>0</v>
      </c>
      <c r="O55" s="342">
        <f t="shared" si="5"/>
        <v>0</v>
      </c>
      <c r="P55" s="342">
        <f t="shared" si="5"/>
        <v>0</v>
      </c>
      <c r="Q55" s="342">
        <f t="shared" si="5"/>
        <v>0</v>
      </c>
      <c r="S55" s="330">
        <f>F55/F12</f>
        <v>5.3551508357486531E-2</v>
      </c>
      <c r="T55" s="337"/>
    </row>
    <row r="56" spans="1:37" ht="16.05" customHeight="1" x14ac:dyDescent="0.25">
      <c r="B56" s="678"/>
      <c r="C56" s="688"/>
      <c r="D56" s="688"/>
      <c r="E56" s="565"/>
      <c r="F56" s="334"/>
      <c r="G56" s="348"/>
      <c r="H56" s="334"/>
      <c r="I56" s="334"/>
      <c r="J56" s="334"/>
      <c r="K56" s="334"/>
      <c r="L56" s="334"/>
      <c r="M56" s="334"/>
      <c r="N56" s="334"/>
      <c r="O56" s="334"/>
      <c r="P56" s="334"/>
      <c r="Q56" s="334"/>
    </row>
    <row r="57" spans="1:37" ht="16.05" customHeight="1" x14ac:dyDescent="0.25">
      <c r="A57" s="678" t="s">
        <v>352</v>
      </c>
      <c r="B57" s="640"/>
      <c r="C57" s="640"/>
      <c r="D57" s="640"/>
      <c r="E57" s="567"/>
      <c r="F57" s="335"/>
      <c r="G57" s="348"/>
      <c r="H57" s="334"/>
      <c r="I57" s="334"/>
      <c r="J57" s="334"/>
      <c r="K57" s="334"/>
      <c r="L57" s="334"/>
      <c r="M57" s="334"/>
      <c r="N57" s="334"/>
      <c r="O57" s="334"/>
      <c r="P57" s="334"/>
      <c r="Q57" s="334"/>
    </row>
    <row r="58" spans="1:37" ht="16.05" customHeight="1" x14ac:dyDescent="0.25">
      <c r="B58" s="673" t="s">
        <v>347</v>
      </c>
      <c r="C58" s="687"/>
      <c r="D58" s="687"/>
      <c r="E58" s="570"/>
      <c r="F58" s="343"/>
      <c r="G58" s="316"/>
      <c r="H58" s="351"/>
      <c r="I58" s="351"/>
      <c r="J58" s="351"/>
      <c r="K58" s="351"/>
      <c r="L58" s="351"/>
      <c r="M58" s="351"/>
      <c r="N58" s="351"/>
      <c r="O58" s="351"/>
      <c r="P58" s="351"/>
      <c r="Q58" s="351"/>
    </row>
    <row r="59" spans="1:37" ht="16.05" customHeight="1" x14ac:dyDescent="0.25">
      <c r="B59" s="349"/>
      <c r="C59" s="665"/>
      <c r="D59" s="666"/>
      <c r="E59" s="569">
        <f>F59*Escalation!M26</f>
        <v>18465.748975337465</v>
      </c>
      <c r="F59" s="343">
        <f>SUM(H59:Q59)</f>
        <v>11372.024882774433</v>
      </c>
      <c r="G59" s="316"/>
      <c r="H59" s="336"/>
      <c r="I59" s="336">
        <f>(Blender!E10)*30</f>
        <v>11372.024882774433</v>
      </c>
      <c r="J59" s="336"/>
      <c r="K59" s="336"/>
      <c r="L59" s="336"/>
      <c r="M59" s="336"/>
      <c r="N59" s="336"/>
      <c r="O59" s="336"/>
      <c r="P59" s="336"/>
      <c r="Q59" s="336"/>
      <c r="T59" s="337"/>
    </row>
    <row r="60" spans="1:37" ht="16.05" customHeight="1" x14ac:dyDescent="0.25">
      <c r="B60" s="673" t="s">
        <v>386</v>
      </c>
      <c r="C60" s="687"/>
      <c r="D60" s="687"/>
      <c r="E60" s="570"/>
      <c r="F60" s="343"/>
      <c r="G60" s="316"/>
      <c r="H60" s="352"/>
      <c r="I60" s="352"/>
      <c r="J60" s="352"/>
      <c r="K60" s="352"/>
      <c r="L60" s="352"/>
      <c r="M60" s="352"/>
      <c r="N60" s="352"/>
      <c r="O60" s="352"/>
      <c r="P60" s="352"/>
      <c r="Q60" s="352"/>
    </row>
    <row r="61" spans="1:37" ht="16.05" customHeight="1" thickBot="1" x14ac:dyDescent="0.3">
      <c r="B61" s="349"/>
      <c r="C61" s="665"/>
      <c r="D61" s="666"/>
      <c r="E61" s="569">
        <f>F61*Escalation!M26</f>
        <v>487136.1740504487</v>
      </c>
      <c r="F61" s="343">
        <f>SUM(H61:Q61)</f>
        <v>300000</v>
      </c>
      <c r="G61" s="316"/>
      <c r="H61" s="336"/>
      <c r="I61" s="336">
        <v>300000</v>
      </c>
      <c r="J61" s="336"/>
      <c r="K61" s="336"/>
      <c r="L61" s="336"/>
      <c r="M61" s="336"/>
      <c r="N61" s="336"/>
      <c r="O61" s="336"/>
      <c r="P61" s="336"/>
      <c r="Q61" s="336"/>
      <c r="T61" s="345"/>
    </row>
    <row r="62" spans="1:37" ht="16.05" customHeight="1" thickBot="1" x14ac:dyDescent="0.3">
      <c r="B62" s="670" t="s">
        <v>388</v>
      </c>
      <c r="C62" s="683"/>
      <c r="D62" s="684"/>
      <c r="E62" s="566">
        <f>SUM(E58:E61)</f>
        <v>505601.92302578618</v>
      </c>
      <c r="F62" s="341">
        <f>SUM(H62:Q62)</f>
        <v>311372.02488277445</v>
      </c>
      <c r="G62" s="316"/>
      <c r="H62" s="342">
        <f t="shared" ref="H62:Q62" si="6">SUM(H58:H61)</f>
        <v>0</v>
      </c>
      <c r="I62" s="342">
        <f t="shared" si="6"/>
        <v>311372.02488277445</v>
      </c>
      <c r="J62" s="342">
        <f t="shared" si="6"/>
        <v>0</v>
      </c>
      <c r="K62" s="342">
        <f t="shared" si="6"/>
        <v>0</v>
      </c>
      <c r="L62" s="342">
        <f t="shared" si="6"/>
        <v>0</v>
      </c>
      <c r="M62" s="342">
        <f t="shared" si="6"/>
        <v>0</v>
      </c>
      <c r="N62" s="342">
        <f t="shared" si="6"/>
        <v>0</v>
      </c>
      <c r="O62" s="342">
        <f t="shared" si="6"/>
        <v>0</v>
      </c>
      <c r="P62" s="342">
        <f t="shared" si="6"/>
        <v>0</v>
      </c>
      <c r="Q62" s="342">
        <f t="shared" si="6"/>
        <v>0</v>
      </c>
      <c r="S62" s="435"/>
      <c r="T62" s="337"/>
    </row>
    <row r="63" spans="1:37" ht="16.05" customHeight="1" x14ac:dyDescent="0.25">
      <c r="B63" s="338"/>
      <c r="C63" s="338"/>
      <c r="D63" s="338"/>
      <c r="E63" s="571"/>
      <c r="F63" s="338"/>
      <c r="G63" s="338"/>
      <c r="H63" s="338"/>
      <c r="I63" s="338"/>
      <c r="J63" s="338"/>
      <c r="K63" s="338"/>
      <c r="L63" s="338"/>
      <c r="M63" s="338"/>
    </row>
    <row r="64" spans="1:37" ht="16.05" customHeight="1" thickBot="1" x14ac:dyDescent="0.3">
      <c r="A64" s="678" t="s">
        <v>4</v>
      </c>
      <c r="B64" s="640"/>
      <c r="C64" s="640"/>
      <c r="D64" s="640"/>
      <c r="E64" s="567"/>
      <c r="F64" s="335"/>
      <c r="G64" s="338"/>
      <c r="H64" s="335"/>
      <c r="I64" s="335"/>
      <c r="J64" s="335"/>
      <c r="K64" s="335"/>
      <c r="L64" s="335"/>
      <c r="M64" s="335"/>
      <c r="N64" s="335"/>
      <c r="O64" s="335"/>
      <c r="P64" s="335"/>
      <c r="Q64" s="335"/>
      <c r="AB64" s="313">
        <v>1</v>
      </c>
      <c r="AC64" s="313">
        <v>2</v>
      </c>
      <c r="AD64" s="313">
        <v>3</v>
      </c>
      <c r="AE64" s="313">
        <v>4</v>
      </c>
      <c r="AF64" s="313">
        <v>5</v>
      </c>
      <c r="AG64" s="313">
        <v>6</v>
      </c>
      <c r="AH64" s="313">
        <v>7</v>
      </c>
      <c r="AI64" s="313">
        <v>8</v>
      </c>
      <c r="AJ64" s="313">
        <v>9</v>
      </c>
      <c r="AK64" s="313">
        <v>10</v>
      </c>
    </row>
    <row r="65" spans="1:37" ht="16.05" customHeight="1" thickBot="1" x14ac:dyDescent="0.3">
      <c r="B65" s="670" t="s">
        <v>387</v>
      </c>
      <c r="C65" s="683"/>
      <c r="D65" s="684"/>
      <c r="E65" s="572">
        <f>F65*Escalation!M32</f>
        <v>1620700.3713366634</v>
      </c>
      <c r="F65" s="341">
        <f>IF(H12+I12+J12+K12+L12+M12+N12+O12+Q12=0,"",SUM(H65:Q65))</f>
        <v>1063973.4972746838</v>
      </c>
      <c r="H65" s="343">
        <f>AB65</f>
        <v>0</v>
      </c>
      <c r="I65" s="343">
        <f t="shared" ref="I65:Q65" si="7">AC65</f>
        <v>1063973.4972746838</v>
      </c>
      <c r="J65" s="343">
        <f t="shared" si="7"/>
        <v>0</v>
      </c>
      <c r="K65" s="343">
        <f t="shared" si="7"/>
        <v>0</v>
      </c>
      <c r="L65" s="343">
        <f t="shared" si="7"/>
        <v>0</v>
      </c>
      <c r="M65" s="343">
        <f t="shared" si="7"/>
        <v>0</v>
      </c>
      <c r="N65" s="343">
        <f t="shared" si="7"/>
        <v>0</v>
      </c>
      <c r="O65" s="343">
        <f t="shared" si="7"/>
        <v>0</v>
      </c>
      <c r="P65" s="343">
        <f t="shared" si="7"/>
        <v>0</v>
      </c>
      <c r="Q65" s="343">
        <f t="shared" si="7"/>
        <v>0</v>
      </c>
      <c r="S65" s="330">
        <f>F65/F12</f>
        <v>2.8006609300260329E-2</v>
      </c>
      <c r="T65" s="337"/>
      <c r="AB65" s="313">
        <f>H12*IF(H12&gt;50000000,0.02,IF(H12&lt;5000000,0.05,(0.02+((50000000-H12)/45000000)*0.03)))</f>
        <v>0</v>
      </c>
      <c r="AC65" s="428">
        <f t="shared" ref="AC65:AK65" si="8">I12*IF(I12&gt;50000000,0.02,IF(I12&lt;5000000,0.05,(0.02+((50000000-I12)/45000000)*0.03)))</f>
        <v>1063973.4972746838</v>
      </c>
      <c r="AD65" s="428">
        <f t="shared" si="8"/>
        <v>0</v>
      </c>
      <c r="AE65" s="428">
        <f t="shared" si="8"/>
        <v>0</v>
      </c>
      <c r="AF65" s="428">
        <f t="shared" si="8"/>
        <v>0</v>
      </c>
      <c r="AG65" s="428">
        <f t="shared" si="8"/>
        <v>0</v>
      </c>
      <c r="AH65" s="428">
        <f t="shared" si="8"/>
        <v>0</v>
      </c>
      <c r="AI65" s="428">
        <f t="shared" si="8"/>
        <v>0</v>
      </c>
      <c r="AJ65" s="428">
        <f t="shared" si="8"/>
        <v>0</v>
      </c>
      <c r="AK65" s="428">
        <f t="shared" si="8"/>
        <v>0</v>
      </c>
    </row>
    <row r="66" spans="1:37" ht="16.05" customHeight="1" x14ac:dyDescent="0.25">
      <c r="E66" s="521"/>
      <c r="H66" s="353"/>
      <c r="I66" s="353"/>
      <c r="J66" s="353"/>
      <c r="K66" s="353"/>
      <c r="L66" s="353"/>
      <c r="M66" s="353"/>
      <c r="N66" s="353"/>
      <c r="O66" s="353"/>
      <c r="P66" s="353"/>
      <c r="Q66" s="353"/>
    </row>
    <row r="67" spans="1:37" ht="16.05" customHeight="1" thickBot="1" x14ac:dyDescent="0.3">
      <c r="A67" s="678" t="s">
        <v>712</v>
      </c>
      <c r="B67" s="640"/>
      <c r="C67" s="640"/>
      <c r="D67" s="640"/>
      <c r="E67" s="521"/>
      <c r="H67" s="335"/>
      <c r="I67" s="335"/>
      <c r="J67" s="335"/>
      <c r="K67" s="335"/>
      <c r="L67" s="335"/>
      <c r="M67" s="335"/>
      <c r="N67" s="335"/>
      <c r="O67" s="335"/>
      <c r="P67" s="335"/>
      <c r="Q67" s="335"/>
    </row>
    <row r="68" spans="1:37" ht="16.05" customHeight="1" thickBot="1" x14ac:dyDescent="0.3">
      <c r="B68" s="670" t="s">
        <v>713</v>
      </c>
      <c r="C68" s="683"/>
      <c r="D68" s="684"/>
      <c r="E68" s="566">
        <f>E8</f>
        <v>1000000</v>
      </c>
      <c r="F68" s="341">
        <f>IF(F12=0,"",SUM(H68:Q68))</f>
        <v>1000000</v>
      </c>
      <c r="H68" s="342">
        <f t="shared" ref="H68:Q68" si="9">H8</f>
        <v>1000000</v>
      </c>
      <c r="I68" s="342">
        <f t="shared" si="9"/>
        <v>0</v>
      </c>
      <c r="J68" s="342">
        <f t="shared" si="9"/>
        <v>0</v>
      </c>
      <c r="K68" s="342">
        <f t="shared" si="9"/>
        <v>0</v>
      </c>
      <c r="L68" s="342">
        <f t="shared" si="9"/>
        <v>0</v>
      </c>
      <c r="M68" s="342">
        <f t="shared" si="9"/>
        <v>0</v>
      </c>
      <c r="N68" s="342">
        <f t="shared" si="9"/>
        <v>0</v>
      </c>
      <c r="O68" s="342">
        <f t="shared" si="9"/>
        <v>0</v>
      </c>
      <c r="P68" s="342">
        <f t="shared" si="9"/>
        <v>0</v>
      </c>
      <c r="Q68" s="342">
        <f t="shared" si="9"/>
        <v>0</v>
      </c>
      <c r="T68" s="337"/>
    </row>
    <row r="69" spans="1:37" ht="16.05" customHeight="1" thickBot="1" x14ac:dyDescent="0.3">
      <c r="B69" s="670" t="s">
        <v>714</v>
      </c>
      <c r="C69" s="683"/>
      <c r="D69" s="684"/>
      <c r="E69" s="566">
        <f>E12</f>
        <v>57868496.466710746</v>
      </c>
      <c r="F69" s="341">
        <f>IF(F12=0,"",SUM(H69:Q69))</f>
        <v>37990086.049609505</v>
      </c>
      <c r="H69" s="342">
        <f>H12</f>
        <v>0</v>
      </c>
      <c r="I69" s="342">
        <f t="shared" ref="I69:Q69" si="10">I12</f>
        <v>37990086.049609505</v>
      </c>
      <c r="J69" s="342">
        <f t="shared" si="10"/>
        <v>0</v>
      </c>
      <c r="K69" s="342">
        <f t="shared" si="10"/>
        <v>0</v>
      </c>
      <c r="L69" s="342">
        <f t="shared" si="10"/>
        <v>0</v>
      </c>
      <c r="M69" s="342">
        <f t="shared" si="10"/>
        <v>0</v>
      </c>
      <c r="N69" s="342">
        <f t="shared" si="10"/>
        <v>0</v>
      </c>
      <c r="O69" s="342">
        <f t="shared" si="10"/>
        <v>0</v>
      </c>
      <c r="P69" s="342">
        <f t="shared" si="10"/>
        <v>0</v>
      </c>
      <c r="Q69" s="342">
        <f t="shared" si="10"/>
        <v>0</v>
      </c>
      <c r="T69" s="337"/>
    </row>
    <row r="70" spans="1:37" ht="16.05" customHeight="1" thickBot="1" x14ac:dyDescent="0.3">
      <c r="B70" s="670" t="s">
        <v>906</v>
      </c>
      <c r="C70" s="683"/>
      <c r="D70" s="684"/>
      <c r="E70" s="566">
        <f>E29+E34+E55+E65</f>
        <v>9319677.7382718157</v>
      </c>
      <c r="F70" s="341">
        <f>IF(F12=0,"",SUM(H70:Q70))</f>
        <v>7121907.1634858288</v>
      </c>
      <c r="H70" s="342">
        <f>H65+H55+H34+H29</f>
        <v>30250</v>
      </c>
      <c r="I70" s="342">
        <f t="shared" ref="I70:Q70" si="11">I65+I55+I34+I29</f>
        <v>7091657.1634858288</v>
      </c>
      <c r="J70" s="342">
        <f t="shared" si="11"/>
        <v>0</v>
      </c>
      <c r="K70" s="342">
        <f t="shared" si="11"/>
        <v>0</v>
      </c>
      <c r="L70" s="342">
        <f t="shared" si="11"/>
        <v>0</v>
      </c>
      <c r="M70" s="342">
        <f t="shared" si="11"/>
        <v>0</v>
      </c>
      <c r="N70" s="342">
        <f t="shared" si="11"/>
        <v>0</v>
      </c>
      <c r="O70" s="342">
        <f t="shared" si="11"/>
        <v>0</v>
      </c>
      <c r="P70" s="342">
        <f t="shared" si="11"/>
        <v>0</v>
      </c>
      <c r="Q70" s="342">
        <f t="shared" si="11"/>
        <v>0</v>
      </c>
      <c r="S70" s="330">
        <f>F70/F12</f>
        <v>0.18746751860960931</v>
      </c>
      <c r="T70" s="337"/>
    </row>
    <row r="71" spans="1:37" ht="16.05" customHeight="1" thickBot="1" x14ac:dyDescent="0.3">
      <c r="B71" s="354" t="s">
        <v>352</v>
      </c>
      <c r="C71" s="355"/>
      <c r="D71" s="356"/>
      <c r="E71" s="566">
        <f>E62</f>
        <v>505601.92302578618</v>
      </c>
      <c r="F71" s="341">
        <f>IF(F12=0,"",SUM(H71:Q71))</f>
        <v>311372.02488277445</v>
      </c>
      <c r="H71" s="342">
        <f>H62</f>
        <v>0</v>
      </c>
      <c r="I71" s="342">
        <f t="shared" ref="I71:Q71" si="12">I62</f>
        <v>311372.02488277445</v>
      </c>
      <c r="J71" s="342">
        <f t="shared" si="12"/>
        <v>0</v>
      </c>
      <c r="K71" s="342">
        <f t="shared" si="12"/>
        <v>0</v>
      </c>
      <c r="L71" s="342">
        <f t="shared" si="12"/>
        <v>0</v>
      </c>
      <c r="M71" s="342">
        <f t="shared" si="12"/>
        <v>0</v>
      </c>
      <c r="N71" s="342">
        <f t="shared" si="12"/>
        <v>0</v>
      </c>
      <c r="O71" s="342">
        <f t="shared" si="12"/>
        <v>0</v>
      </c>
      <c r="P71" s="342">
        <f t="shared" si="12"/>
        <v>0</v>
      </c>
      <c r="Q71" s="342">
        <f t="shared" si="12"/>
        <v>0</v>
      </c>
      <c r="T71" s="337"/>
    </row>
    <row r="72" spans="1:37" ht="16.05" customHeight="1" thickBot="1" x14ac:dyDescent="0.3">
      <c r="B72" s="670" t="s">
        <v>715</v>
      </c>
      <c r="C72" s="683"/>
      <c r="D72" s="684"/>
      <c r="E72" s="566">
        <f>SUM(E68:E71)</f>
        <v>68693776.128008351</v>
      </c>
      <c r="F72" s="341">
        <f>IF(F12=0,"",SUM(H72:Q72))</f>
        <v>46423365.237978108</v>
      </c>
      <c r="H72" s="341">
        <f>SUM(H68:H71)</f>
        <v>1030250</v>
      </c>
      <c r="I72" s="341">
        <f t="shared" ref="I72:Q72" si="13">SUM(I68:I71)</f>
        <v>45393115.237978108</v>
      </c>
      <c r="J72" s="341">
        <f t="shared" si="13"/>
        <v>0</v>
      </c>
      <c r="K72" s="341">
        <f t="shared" si="13"/>
        <v>0</v>
      </c>
      <c r="L72" s="341">
        <f t="shared" si="13"/>
        <v>0</v>
      </c>
      <c r="M72" s="341">
        <f t="shared" si="13"/>
        <v>0</v>
      </c>
      <c r="N72" s="341">
        <f t="shared" si="13"/>
        <v>0</v>
      </c>
      <c r="O72" s="341">
        <f t="shared" si="13"/>
        <v>0</v>
      </c>
      <c r="P72" s="341">
        <f t="shared" si="13"/>
        <v>0</v>
      </c>
      <c r="Q72" s="341">
        <f t="shared" si="13"/>
        <v>0</v>
      </c>
      <c r="S72" s="495">
        <f>F72/Overview!C38</f>
        <v>233.87978364997937</v>
      </c>
      <c r="T72" s="337"/>
    </row>
    <row r="73" spans="1:37" ht="16.05" customHeight="1" x14ac:dyDescent="0.25"/>
  </sheetData>
  <sheetProtection algorithmName="SHA-512" hashValue="Q9C4j8KuFi9CtODYN//h2y49p3wg0OZqi0f5TXIPWtcjLWqaVugxD2qq5SsZu+9utH2+uugLRr+00GBMrbiyug==" saltValue="UeM9ZzXuvbaGB8nReqbTCw==" spinCount="100000" sheet="1" objects="1" scenarios="1"/>
  <mergeCells count="69">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 ref="C39:D39"/>
    <mergeCell ref="C40:D40"/>
    <mergeCell ref="B65:D65"/>
    <mergeCell ref="B60:D60"/>
    <mergeCell ref="C61:D61"/>
    <mergeCell ref="B49:D49"/>
    <mergeCell ref="B45:D45"/>
    <mergeCell ref="B46:D46"/>
    <mergeCell ref="B47:D47"/>
    <mergeCell ref="B48:D48"/>
    <mergeCell ref="B56:D56"/>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A2:C2"/>
    <mergeCell ref="A3:C3"/>
    <mergeCell ref="B25:D25"/>
    <mergeCell ref="A14:D14"/>
    <mergeCell ref="A10:D10"/>
    <mergeCell ref="B5:D5"/>
    <mergeCell ref="B6:D6"/>
    <mergeCell ref="B9:D9"/>
    <mergeCell ref="B8:D8"/>
    <mergeCell ref="B11:D11"/>
    <mergeCell ref="A7:D7"/>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s>
  <hyperlinks>
    <hyperlink ref="A1" location="Index!A1" display="&lt; Return to Index"/>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R78"/>
  <sheetViews>
    <sheetView zoomScaleNormal="100" zoomScaleSheetLayoutView="100" workbookViewId="0">
      <selection activeCell="H25" sqref="H25"/>
    </sheetView>
  </sheetViews>
  <sheetFormatPr defaultColWidth="9.109375" defaultRowHeight="13.2" x14ac:dyDescent="0.25"/>
  <cols>
    <col min="1" max="1" width="2.44140625" style="77" customWidth="1"/>
    <col min="2" max="2" width="43.109375" style="77" customWidth="1"/>
    <col min="3" max="3" width="43.109375" style="236" customWidth="1"/>
    <col min="4" max="5" width="20.5546875" style="236" customWidth="1"/>
    <col min="6" max="6" width="20.5546875" style="66" customWidth="1"/>
    <col min="7" max="7" width="2.6640625" style="77" customWidth="1"/>
    <col min="8" max="18" width="9.109375" style="236"/>
    <col min="19" max="25" width="9.109375" style="77"/>
    <col min="26" max="26" width="12.6640625" style="77" bestFit="1" customWidth="1"/>
    <col min="27" max="16384" width="9.109375" style="77"/>
  </cols>
  <sheetData>
    <row r="1" spans="1:7" s="179" customFormat="1" ht="21.9" customHeight="1" x14ac:dyDescent="0.25">
      <c r="A1" s="639" t="s">
        <v>1118</v>
      </c>
      <c r="B1" s="640"/>
      <c r="C1" s="236"/>
      <c r="D1" s="236"/>
      <c r="E1" s="236"/>
      <c r="F1" s="180"/>
    </row>
    <row r="2" spans="1:7" s="34" customFormat="1" ht="32.25" customHeight="1" x14ac:dyDescent="0.25">
      <c r="A2" s="28"/>
      <c r="B2" s="54"/>
      <c r="C2" s="54"/>
      <c r="D2" s="54"/>
      <c r="E2" s="54"/>
      <c r="F2" s="64"/>
      <c r="G2" s="55"/>
    </row>
    <row r="3" spans="1:7" s="34" customFormat="1" ht="21.9" customHeight="1" x14ac:dyDescent="0.25">
      <c r="A3" s="693"/>
      <c r="B3" s="694"/>
      <c r="C3" s="237"/>
      <c r="D3" s="237"/>
      <c r="E3" s="237"/>
      <c r="F3" s="65"/>
      <c r="G3" s="41"/>
    </row>
    <row r="4" spans="1:7" s="34" customFormat="1" ht="21.9" customHeight="1" x14ac:dyDescent="0.25">
      <c r="A4" s="78"/>
      <c r="B4" s="79"/>
      <c r="C4" s="237"/>
      <c r="D4" s="237"/>
      <c r="E4" s="237"/>
      <c r="F4" s="65"/>
      <c r="G4" s="41"/>
    </row>
    <row r="5" spans="1:7" s="34" customFormat="1" ht="33" customHeight="1" x14ac:dyDescent="0.25">
      <c r="A5" s="78"/>
      <c r="B5" s="138" t="s">
        <v>956</v>
      </c>
      <c r="C5" s="138"/>
      <c r="D5" s="138"/>
      <c r="E5" s="138"/>
      <c r="F5" s="65"/>
      <c r="G5" s="41"/>
    </row>
    <row r="6" spans="1:7" s="207" customFormat="1" ht="33" customHeight="1" x14ac:dyDescent="0.25">
      <c r="F6" s="208"/>
      <c r="G6" s="206"/>
    </row>
    <row r="7" spans="1:7" s="280" customFormat="1" ht="33" customHeight="1" x14ac:dyDescent="0.25">
      <c r="B7" s="278" t="s">
        <v>1122</v>
      </c>
      <c r="C7" s="278" t="s">
        <v>1121</v>
      </c>
      <c r="D7" s="279" t="s">
        <v>916</v>
      </c>
      <c r="E7" s="279" t="s">
        <v>950</v>
      </c>
      <c r="F7" s="279" t="s">
        <v>912</v>
      </c>
      <c r="G7" s="281"/>
    </row>
    <row r="8" spans="1:7" s="179" customFormat="1" ht="33" customHeight="1" x14ac:dyDescent="0.25">
      <c r="B8" s="270" t="s">
        <v>1112</v>
      </c>
      <c r="C8" s="275" t="str">
        <f>'Type 1 Comps'!D6</f>
        <v>New Classroom Buildings</v>
      </c>
      <c r="D8" s="271">
        <f>'Type 1 Prog'!E5</f>
        <v>40257.575757575753</v>
      </c>
      <c r="E8" s="272">
        <f>'Type 1 Comps'!E45</f>
        <v>430.76287785485658</v>
      </c>
      <c r="F8" s="273">
        <f>IF(E8="","",D8*E8)</f>
        <v>17341469.188793238</v>
      </c>
    </row>
    <row r="9" spans="1:7" s="179" customFormat="1" ht="8.1" customHeight="1" x14ac:dyDescent="0.25">
      <c r="B9" s="282"/>
      <c r="G9" s="209"/>
    </row>
    <row r="10" spans="1:7" s="179" customFormat="1" ht="33" customHeight="1" x14ac:dyDescent="0.25">
      <c r="B10" s="274" t="s">
        <v>1113</v>
      </c>
      <c r="C10" s="275" t="str">
        <f>'Type 2 Comps'!D6</f>
        <v>Renovate Classroom Buildings - H</v>
      </c>
      <c r="D10" s="271">
        <f>'Type 2 Prog'!E5</f>
        <v>24901.515151515152</v>
      </c>
      <c r="E10" s="272">
        <f>'Type 2 Comps'!E45</f>
        <v>379.06749609248106</v>
      </c>
      <c r="F10" s="273">
        <f>IF(E10="","",D10*E10)</f>
        <v>9439354.9973938279</v>
      </c>
      <c r="G10" s="209"/>
    </row>
    <row r="11" spans="1:7" s="179" customFormat="1" ht="8.1" customHeight="1" x14ac:dyDescent="0.25">
      <c r="B11" s="282"/>
      <c r="G11" s="209"/>
    </row>
    <row r="12" spans="1:7" s="179" customFormat="1" ht="33" customHeight="1" x14ac:dyDescent="0.25">
      <c r="B12" s="276" t="s">
        <v>1114</v>
      </c>
      <c r="C12" s="275" t="str">
        <f>'Type 3 Comps'!D6</f>
        <v>New Parking Structure</v>
      </c>
      <c r="D12" s="271">
        <f>'Type 3 Prog'!E5</f>
        <v>133333.33333333334</v>
      </c>
      <c r="E12" s="272">
        <f>'Type 3 Comps'!E45</f>
        <v>89.12240048127596</v>
      </c>
      <c r="F12" s="273">
        <f>IF(E12="","",D12*E12)</f>
        <v>11882986.730836796</v>
      </c>
      <c r="G12" s="209"/>
    </row>
    <row r="13" spans="1:7" s="179" customFormat="1" ht="8.1" customHeight="1" x14ac:dyDescent="0.25">
      <c r="B13" s="282"/>
      <c r="G13" s="209"/>
    </row>
    <row r="14" spans="1:7" s="179" customFormat="1" ht="33" customHeight="1" x14ac:dyDescent="0.25">
      <c r="B14" s="290" t="s">
        <v>1144</v>
      </c>
      <c r="C14" s="275" t="s">
        <v>1120</v>
      </c>
      <c r="D14" s="277" t="s">
        <v>1123</v>
      </c>
      <c r="E14" s="277" t="s">
        <v>1123</v>
      </c>
      <c r="F14" s="273">
        <f>Estimate!F5</f>
        <v>2088606.25</v>
      </c>
      <c r="G14" s="209"/>
    </row>
    <row r="15" spans="1:7" s="179" customFormat="1" ht="8.1" customHeight="1" x14ac:dyDescent="0.25">
      <c r="G15" s="209"/>
    </row>
    <row r="16" spans="1:7" s="179" customFormat="1" ht="33" customHeight="1" x14ac:dyDescent="0.25">
      <c r="B16" s="414" t="s">
        <v>948</v>
      </c>
      <c r="C16" s="415"/>
      <c r="D16" s="415"/>
      <c r="E16" s="415"/>
      <c r="F16" s="273">
        <f>F8+F10+F12+F14</f>
        <v>40752417.16702386</v>
      </c>
      <c r="G16" s="209"/>
    </row>
    <row r="17" spans="2:8" s="179" customFormat="1" ht="8.1" customHeight="1" x14ac:dyDescent="0.25">
      <c r="G17" s="209"/>
    </row>
    <row r="18" spans="2:8" s="179" customFormat="1" ht="33" customHeight="1" x14ac:dyDescent="0.25">
      <c r="B18" s="414" t="s">
        <v>1198</v>
      </c>
      <c r="C18" s="415"/>
      <c r="D18" s="553">
        <v>0.05</v>
      </c>
      <c r="E18" s="416" t="s">
        <v>1199</v>
      </c>
      <c r="F18" s="417">
        <f>D18*F16</f>
        <v>2037620.8583511931</v>
      </c>
      <c r="G18" s="209"/>
      <c r="H18" s="418" t="s">
        <v>349</v>
      </c>
    </row>
    <row r="19" spans="2:8" s="179" customFormat="1" ht="8.1" customHeight="1" thickBot="1" x14ac:dyDescent="0.3">
      <c r="G19" s="209"/>
    </row>
    <row r="20" spans="2:8" s="282" customFormat="1" ht="33" customHeight="1" thickBot="1" x14ac:dyDescent="0.3">
      <c r="B20" s="285" t="s">
        <v>1200</v>
      </c>
      <c r="C20" s="286"/>
      <c r="D20" s="286"/>
      <c r="E20" s="287"/>
      <c r="F20" s="288">
        <f>F16+F18</f>
        <v>42790038.025375053</v>
      </c>
      <c r="G20" s="283"/>
    </row>
    <row r="21" spans="2:8" ht="33" customHeight="1" x14ac:dyDescent="0.25">
      <c r="G21" s="67"/>
    </row>
    <row r="22" spans="2:8" ht="33" customHeight="1" x14ac:dyDescent="0.25">
      <c r="B22" s="66"/>
      <c r="C22" s="66"/>
      <c r="D22" s="66"/>
      <c r="E22" s="66"/>
      <c r="G22" s="67"/>
    </row>
    <row r="23" spans="2:8" ht="21.9" customHeight="1" x14ac:dyDescent="0.25">
      <c r="G23" s="67"/>
    </row>
    <row r="24" spans="2:8" ht="21.9" customHeight="1" x14ac:dyDescent="0.25">
      <c r="G24" s="67"/>
    </row>
    <row r="25" spans="2:8" ht="21.9" customHeight="1" x14ac:dyDescent="0.25">
      <c r="G25" s="67"/>
    </row>
    <row r="26" spans="2:8" ht="21.9" customHeight="1" x14ac:dyDescent="0.25">
      <c r="G26" s="67"/>
    </row>
    <row r="27" spans="2:8" ht="21.9" customHeight="1" x14ac:dyDescent="0.25">
      <c r="G27" s="67"/>
    </row>
    <row r="28" spans="2:8" ht="21.9" customHeight="1" x14ac:dyDescent="0.25">
      <c r="G28" s="67"/>
    </row>
    <row r="29" spans="2:8" ht="21.9" customHeight="1" x14ac:dyDescent="0.25">
      <c r="G29" s="67"/>
    </row>
    <row r="30" spans="2:8" ht="21.9" customHeight="1" x14ac:dyDescent="0.25">
      <c r="G30" s="67"/>
    </row>
    <row r="31" spans="2:8" ht="21.9" customHeight="1" x14ac:dyDescent="0.25">
      <c r="G31" s="67"/>
    </row>
    <row r="32" spans="2:8" ht="21.9" customHeight="1" x14ac:dyDescent="0.25">
      <c r="G32" s="66"/>
    </row>
    <row r="33" spans="7:7" ht="21.9" customHeight="1" x14ac:dyDescent="0.25">
      <c r="G33" s="66"/>
    </row>
    <row r="34" spans="7:7" ht="21.9" customHeight="1" x14ac:dyDescent="0.25">
      <c r="G34" s="66"/>
    </row>
    <row r="35" spans="7:7" ht="21.9" customHeight="1" x14ac:dyDescent="0.25">
      <c r="G35" s="66"/>
    </row>
    <row r="36" spans="7:7" ht="21.9" customHeight="1" x14ac:dyDescent="0.25">
      <c r="G36" s="66"/>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XrP0w+ujO4aEhjchJdNP7gq52j/ULAPA7EfXEwYJM2QGEUgdgXOylZkcvKuuLhFQOBIHTO3mX5nsoeQrfxmbCQ==" saltValue="Fm8R0KPW8CBdMnDZ179MTw==" spinCount="100000" sheet="1" objects="1" scenarios="1"/>
  <mergeCells count="2">
    <mergeCell ref="A1:B1"/>
    <mergeCell ref="A3:B3"/>
  </mergeCells>
  <hyperlinks>
    <hyperlink ref="A1" location="Index!A1" display="&lt; Return to Index"/>
    <hyperlink ref="B12" location="'Type 3 Comps'!A1" display="Building Type 3"/>
    <hyperlink ref="B10" location="'Type 2 Comps'!A1" display="Building Type 2"/>
    <hyperlink ref="B8" location="'Type 1 Comps'!A1" display="Building Type 1"/>
    <hyperlink ref="B14" location="Estimate!A1" display="Estimate"/>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E7" sqref="E7"/>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39" t="s">
        <v>1118</v>
      </c>
      <c r="B1" s="640"/>
      <c r="C1" s="182"/>
      <c r="D1" s="183"/>
      <c r="E1" s="183"/>
      <c r="F1" s="181"/>
    </row>
    <row r="2" spans="1:10" s="34" customFormat="1" ht="21.9" customHeight="1" x14ac:dyDescent="0.25">
      <c r="A2" s="53"/>
      <c r="B2" s="75"/>
      <c r="C2" s="54"/>
      <c r="D2" s="55"/>
      <c r="F2" s="130"/>
      <c r="G2" s="57"/>
    </row>
    <row r="3" spans="1:10" s="34" customFormat="1" ht="21.9" customHeight="1" x14ac:dyDescent="0.25">
      <c r="A3" s="693"/>
      <c r="B3" s="694"/>
      <c r="C3" s="56"/>
      <c r="D3" s="41"/>
      <c r="F3" s="130"/>
      <c r="G3" s="56"/>
    </row>
    <row r="4" spans="1:10" s="34" customFormat="1" ht="21.9" customHeight="1" x14ac:dyDescent="0.25">
      <c r="A4" s="129"/>
      <c r="B4" s="76" t="s">
        <v>952</v>
      </c>
      <c r="C4" s="56"/>
      <c r="D4" s="41"/>
      <c r="F4" s="130"/>
      <c r="G4" s="56"/>
    </row>
    <row r="5" spans="1:10" ht="21.9" customHeight="1" x14ac:dyDescent="0.25">
      <c r="B5" s="695" t="s">
        <v>996</v>
      </c>
      <c r="C5" s="638"/>
      <c r="D5" s="101" t="s">
        <v>954</v>
      </c>
      <c r="E5" s="109">
        <f>E7/E6</f>
        <v>40257.575757575753</v>
      </c>
      <c r="F5" s="696"/>
    </row>
    <row r="6" spans="1:10" ht="21.9" customHeight="1" x14ac:dyDescent="0.25">
      <c r="B6" s="638"/>
      <c r="C6" s="638"/>
      <c r="D6" s="104" t="s">
        <v>953</v>
      </c>
      <c r="E6" s="110">
        <v>0.66</v>
      </c>
      <c r="F6" s="655"/>
    </row>
    <row r="7" spans="1:10" ht="21.9" customHeight="1" x14ac:dyDescent="0.25">
      <c r="B7" s="638"/>
      <c r="C7" s="638"/>
      <c r="D7" s="104" t="s">
        <v>912</v>
      </c>
      <c r="E7" s="111">
        <f>SUM(E10:E226)</f>
        <v>26570</v>
      </c>
      <c r="F7" s="655"/>
    </row>
    <row r="8" spans="1:10" s="131" customFormat="1" ht="21.9" customHeight="1" x14ac:dyDescent="0.25">
      <c r="B8" s="136" t="str">
        <f>'Type 1 Attr'!D5</f>
        <v>CLASSROOM</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52" t="s">
        <v>1264</v>
      </c>
      <c r="C10" s="211">
        <v>5</v>
      </c>
      <c r="D10" s="105">
        <v>1125</v>
      </c>
      <c r="E10" s="111">
        <f>IF(C10="","",D10*C10)</f>
        <v>5625</v>
      </c>
      <c r="F10" s="301"/>
    </row>
    <row r="11" spans="1:10" ht="21.9" customHeight="1" x14ac:dyDescent="0.25">
      <c r="B11" s="552" t="s">
        <v>1265</v>
      </c>
      <c r="C11" s="211">
        <v>3</v>
      </c>
      <c r="D11" s="105">
        <v>1500</v>
      </c>
      <c r="E11" s="111">
        <f t="shared" ref="E11:E74" si="0">IF(C11="","",D11*C11)</f>
        <v>4500</v>
      </c>
      <c r="F11" s="301"/>
    </row>
    <row r="12" spans="1:10" ht="21.9" customHeight="1" x14ac:dyDescent="0.25">
      <c r="B12" s="552" t="s">
        <v>1266</v>
      </c>
      <c r="C12" s="211">
        <v>1</v>
      </c>
      <c r="D12" s="105">
        <v>1800</v>
      </c>
      <c r="E12" s="111">
        <f t="shared" si="0"/>
        <v>1800</v>
      </c>
      <c r="F12" s="301"/>
    </row>
    <row r="13" spans="1:10" ht="21.9" customHeight="1" x14ac:dyDescent="0.25">
      <c r="B13" s="552" t="s">
        <v>1267</v>
      </c>
      <c r="C13" s="211">
        <v>2</v>
      </c>
      <c r="D13" s="105">
        <v>2500</v>
      </c>
      <c r="E13" s="111">
        <f t="shared" si="0"/>
        <v>5000</v>
      </c>
      <c r="F13" s="301"/>
      <c r="J13" s="98"/>
    </row>
    <row r="14" spans="1:10" ht="21.9" customHeight="1" x14ac:dyDescent="0.25">
      <c r="B14" s="552" t="s">
        <v>1268</v>
      </c>
      <c r="C14" s="211">
        <v>4</v>
      </c>
      <c r="D14" s="105">
        <v>1400</v>
      </c>
      <c r="E14" s="111">
        <f t="shared" si="0"/>
        <v>5600</v>
      </c>
      <c r="F14" s="301"/>
    </row>
    <row r="15" spans="1:10" ht="21.9" customHeight="1" x14ac:dyDescent="0.25">
      <c r="B15" s="552" t="s">
        <v>1269</v>
      </c>
      <c r="C15" s="211">
        <v>1</v>
      </c>
      <c r="D15" s="105">
        <v>2500</v>
      </c>
      <c r="E15" s="111">
        <f t="shared" si="0"/>
        <v>2500</v>
      </c>
      <c r="F15" s="210"/>
    </row>
    <row r="16" spans="1:10" ht="21.9" customHeight="1" x14ac:dyDescent="0.25">
      <c r="B16" s="552" t="s">
        <v>1270</v>
      </c>
      <c r="C16" s="211">
        <v>1</v>
      </c>
      <c r="D16" s="105">
        <v>185</v>
      </c>
      <c r="E16" s="111">
        <f t="shared" si="0"/>
        <v>185</v>
      </c>
      <c r="F16" s="210"/>
    </row>
    <row r="17" spans="2:6" ht="21.9" customHeight="1" x14ac:dyDescent="0.25">
      <c r="B17" s="552" t="s">
        <v>1271</v>
      </c>
      <c r="C17" s="211">
        <v>1</v>
      </c>
      <c r="D17" s="105">
        <v>160</v>
      </c>
      <c r="E17" s="111">
        <f t="shared" si="0"/>
        <v>160</v>
      </c>
      <c r="F17" s="210"/>
    </row>
    <row r="18" spans="2:6" ht="21.9" customHeight="1" x14ac:dyDescent="0.25">
      <c r="B18" s="552" t="s">
        <v>1272</v>
      </c>
      <c r="C18" s="211">
        <v>10</v>
      </c>
      <c r="D18" s="105">
        <v>120</v>
      </c>
      <c r="E18" s="111">
        <f t="shared" si="0"/>
        <v>1200</v>
      </c>
      <c r="F18" s="210"/>
    </row>
    <row r="19" spans="2:6" ht="21.9" customHeight="1" x14ac:dyDescent="0.25">
      <c r="B19" s="397"/>
      <c r="C19" s="211"/>
      <c r="D19" s="105"/>
      <c r="E19" s="111" t="str">
        <f t="shared" si="0"/>
        <v/>
      </c>
      <c r="F19" s="210"/>
    </row>
    <row r="20" spans="2:6" ht="21.9" customHeight="1" x14ac:dyDescent="0.25">
      <c r="B20" s="300"/>
      <c r="C20" s="211"/>
      <c r="D20" s="105"/>
      <c r="E20" s="111" t="str">
        <f t="shared" si="0"/>
        <v/>
      </c>
      <c r="F20" s="210"/>
    </row>
    <row r="21" spans="2:6" ht="21.9" customHeight="1" x14ac:dyDescent="0.25">
      <c r="B21" s="300"/>
      <c r="C21" s="211"/>
      <c r="D21" s="105"/>
      <c r="E21" s="111" t="str">
        <f t="shared" si="0"/>
        <v/>
      </c>
      <c r="F21" s="210"/>
    </row>
    <row r="22" spans="2:6" ht="21.9" customHeight="1" x14ac:dyDescent="0.25">
      <c r="B22" s="210"/>
      <c r="C22" s="211"/>
      <c r="D22" s="105"/>
      <c r="E22" s="111" t="str">
        <f t="shared" si="0"/>
        <v/>
      </c>
      <c r="F22" s="210"/>
    </row>
    <row r="23" spans="2:6" ht="21.9" customHeight="1" x14ac:dyDescent="0.25">
      <c r="B23" s="300"/>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G17" sqref="G1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60"/>
      <c r="B3" s="642"/>
      <c r="C3" s="640"/>
      <c r="AG3" s="408" t="s">
        <v>977</v>
      </c>
    </row>
    <row r="4" spans="1:45" s="404" customFormat="1" ht="33" customHeight="1" thickBot="1" x14ac:dyDescent="0.3">
      <c r="C4" s="137" t="s">
        <v>957</v>
      </c>
      <c r="AG4" s="404" t="s">
        <v>976</v>
      </c>
    </row>
    <row r="5" spans="1:45" s="179" customFormat="1" ht="21.9" customHeight="1" thickBot="1" x14ac:dyDescent="0.3">
      <c r="A5" s="219" t="s">
        <v>1097</v>
      </c>
      <c r="B5" s="555" t="s">
        <v>977</v>
      </c>
      <c r="C5" s="219" t="s">
        <v>1096</v>
      </c>
      <c r="D5" s="555" t="s">
        <v>164</v>
      </c>
    </row>
    <row r="6" spans="1:45" ht="18" customHeight="1" thickBot="1" x14ac:dyDescent="0.3">
      <c r="A6" s="419"/>
      <c r="B6" s="17"/>
      <c r="C6" s="7"/>
      <c r="AB6" s="420"/>
      <c r="AC6" s="420"/>
      <c r="AD6" s="421"/>
      <c r="AE6" s="422" t="s">
        <v>683</v>
      </c>
      <c r="AH6" s="421"/>
      <c r="AI6" s="421"/>
      <c r="AJ6" s="421"/>
      <c r="AK6" s="421"/>
      <c r="AL6" s="421"/>
      <c r="AM6" s="421"/>
      <c r="AN6" s="421"/>
      <c r="AO6" s="421"/>
      <c r="AP6" s="421"/>
      <c r="AQ6" s="421"/>
      <c r="AR6" s="421"/>
      <c r="AS6" s="12"/>
    </row>
    <row r="7" spans="1:45" ht="21.9" customHeight="1" thickBot="1" x14ac:dyDescent="0.3">
      <c r="A7" s="116" t="s">
        <v>716</v>
      </c>
      <c r="B7" s="555" t="s">
        <v>723</v>
      </c>
      <c r="C7" s="555" t="s">
        <v>694</v>
      </c>
      <c r="D7" s="555"/>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99"/>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99"/>
      <c r="B9" s="697"/>
      <c r="C9" s="698"/>
      <c r="D9" s="699"/>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100"/>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116" t="s">
        <v>717</v>
      </c>
      <c r="B11" s="555" t="s">
        <v>961</v>
      </c>
      <c r="C11" s="555" t="s">
        <v>697</v>
      </c>
      <c r="D11" s="555" t="s">
        <v>695</v>
      </c>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99"/>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99"/>
      <c r="B13" s="697"/>
      <c r="C13" s="698"/>
      <c r="D13" s="699"/>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100"/>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116" t="s">
        <v>718</v>
      </c>
      <c r="B15" s="555" t="s">
        <v>692</v>
      </c>
      <c r="C15" s="555"/>
      <c r="D15" s="555"/>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99"/>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99"/>
      <c r="B17" s="697"/>
      <c r="C17" s="698"/>
      <c r="D17" s="699"/>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100"/>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116" t="s">
        <v>719</v>
      </c>
      <c r="B19" s="555" t="s">
        <v>701</v>
      </c>
      <c r="C19" s="555" t="s">
        <v>702</v>
      </c>
      <c r="D19" s="555"/>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99"/>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99"/>
      <c r="B21" s="697"/>
      <c r="C21" s="698"/>
      <c r="D21" s="699"/>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11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127"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99"/>
      <c r="B24" s="555" t="s">
        <v>970</v>
      </c>
      <c r="C24" s="555" t="s">
        <v>711</v>
      </c>
      <c r="D24" s="555"/>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99"/>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99"/>
      <c r="B26" s="697"/>
      <c r="C26" s="698"/>
      <c r="D26" s="699"/>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100"/>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116"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99"/>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99"/>
      <c r="B30" s="697"/>
      <c r="C30" s="698"/>
      <c r="D30" s="699"/>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100"/>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127" t="s">
        <v>682</v>
      </c>
      <c r="B32" s="555" t="s">
        <v>722</v>
      </c>
      <c r="C32" s="555"/>
      <c r="D32" s="555"/>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99"/>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99"/>
      <c r="B34" s="697"/>
      <c r="C34" s="698"/>
      <c r="D34" s="699"/>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100"/>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127"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99"/>
      <c r="B37" s="697"/>
      <c r="C37" s="698"/>
      <c r="D37" s="699"/>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100"/>
      <c r="B38" s="213"/>
      <c r="C38" s="213"/>
      <c r="D38" s="214"/>
      <c r="AH38" s="426"/>
      <c r="AK38" s="73" t="s">
        <v>705</v>
      </c>
      <c r="AS38" s="12"/>
    </row>
    <row r="39" spans="1:45" ht="12.75" customHeight="1" x14ac:dyDescent="0.25">
      <c r="AS39" s="12"/>
    </row>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formula1>$AK$8:$AK$13</formula1>
    </dataValidation>
    <dataValidation type="list" allowBlank="1" showInputMessage="1" showErrorMessage="1" sqref="B32:D32">
      <formula1>$AG$32:$AG$35</formula1>
    </dataValidation>
    <dataValidation type="list" allowBlank="1" showInputMessage="1" showErrorMessage="1" sqref="B24:D24">
      <formula1>$AG$25:$AG$29</formula1>
    </dataValidation>
    <dataValidation type="list" allowBlank="1" showInputMessage="1" showErrorMessage="1" sqref="B15:D15">
      <formula1>$AK$18:$AK$24</formula1>
    </dataValidation>
    <dataValidation type="list" allowBlank="1" showInputMessage="1" showErrorMessage="1" sqref="B19:D19">
      <formula1>$AK$27:$AK$39</formula1>
    </dataValidation>
    <dataValidation type="list" allowBlank="1" showInputMessage="1" showErrorMessage="1" sqref="B11:D11">
      <formula1>$AH$13:$AH$18</formula1>
    </dataValidation>
    <dataValidation type="list" allowBlank="1" showInputMessage="1" showErrorMessage="1" sqref="B5">
      <formula1>$AG$2:$AG$4</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Overview!$AA$5:$AA$156</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W51"/>
  <sheetViews>
    <sheetView zoomScaleNormal="100" zoomScaleSheetLayoutView="100" workbookViewId="0">
      <selection activeCell="D11" sqref="D1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3.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705" t="s">
        <v>1121</v>
      </c>
      <c r="B6" s="706"/>
      <c r="C6" s="707"/>
      <c r="D6" s="259" t="s">
        <v>1273</v>
      </c>
      <c r="F6" s="38"/>
    </row>
    <row r="7" spans="1:257" ht="18" customHeight="1" x14ac:dyDescent="0.25">
      <c r="A7" s="705" t="s">
        <v>414</v>
      </c>
      <c r="B7" s="706"/>
      <c r="C7" s="707"/>
      <c r="D7" s="50" t="str">
        <f>Overview!C14</f>
        <v>Richmond</v>
      </c>
      <c r="R7" s="37" t="s">
        <v>349</v>
      </c>
    </row>
    <row r="8" spans="1:257" ht="18" customHeight="1" x14ac:dyDescent="0.25">
      <c r="A8" s="708" t="s">
        <v>1137</v>
      </c>
      <c r="B8" s="708"/>
      <c r="C8" s="707"/>
      <c r="D8" s="40">
        <f>HCI!GH6</f>
        <v>241.7</v>
      </c>
    </row>
    <row r="9" spans="1:257" s="47" customFormat="1" ht="18" customHeight="1" thickBot="1" x14ac:dyDescent="0.3">
      <c r="B9" s="45"/>
      <c r="C9" s="260"/>
    </row>
    <row r="10" spans="1:257" s="267" customFormat="1" ht="18" customHeight="1" thickBot="1" x14ac:dyDescent="0.3">
      <c r="A10" s="238"/>
      <c r="B10" s="238"/>
      <c r="C10" s="238"/>
      <c r="D10" s="238"/>
      <c r="E10" s="709" t="s">
        <v>1138</v>
      </c>
      <c r="F10" s="710"/>
      <c r="G10" s="710"/>
      <c r="H10" s="711"/>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267"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267"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267" customFormat="1" ht="18" customHeight="1" x14ac:dyDescent="0.25">
      <c r="A13" s="239"/>
      <c r="B13" s="241" t="s">
        <v>389</v>
      </c>
      <c r="C13" s="241" t="s">
        <v>393</v>
      </c>
      <c r="D13" s="241"/>
      <c r="E13" s="39" t="s">
        <v>1274</v>
      </c>
      <c r="F13" s="39" t="s">
        <v>1275</v>
      </c>
      <c r="G13" s="39" t="s">
        <v>1276</v>
      </c>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267"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267" customFormat="1" ht="18" customHeight="1" x14ac:dyDescent="0.25">
      <c r="A15" s="239"/>
      <c r="B15" s="241" t="s">
        <v>391</v>
      </c>
      <c r="C15" s="241" t="s">
        <v>395</v>
      </c>
      <c r="D15" s="241"/>
      <c r="E15" s="39" t="s">
        <v>1277</v>
      </c>
      <c r="F15" s="39" t="s">
        <v>1278</v>
      </c>
      <c r="G15" s="39" t="s">
        <v>1279</v>
      </c>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267" customFormat="1" ht="18" customHeight="1" x14ac:dyDescent="0.25">
      <c r="A16" s="239"/>
      <c r="B16" s="241" t="s">
        <v>392</v>
      </c>
      <c r="C16" s="241" t="s">
        <v>396</v>
      </c>
      <c r="D16" s="241"/>
      <c r="E16" s="42">
        <v>40725</v>
      </c>
      <c r="F16" s="42">
        <v>41091</v>
      </c>
      <c r="G16" s="42">
        <v>41456</v>
      </c>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267"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267"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267" customFormat="1" ht="18" customHeight="1" x14ac:dyDescent="0.25">
      <c r="A19" s="239"/>
      <c r="B19" s="241" t="s">
        <v>398</v>
      </c>
      <c r="C19" s="241" t="s">
        <v>400</v>
      </c>
      <c r="D19" s="241"/>
      <c r="E19" s="43">
        <v>50000</v>
      </c>
      <c r="F19" s="43">
        <v>60000</v>
      </c>
      <c r="G19" s="43">
        <v>70000</v>
      </c>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267"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267"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267"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267"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267"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267" customFormat="1" ht="18" customHeight="1" x14ac:dyDescent="0.25">
      <c r="A25" s="239"/>
      <c r="B25" s="241" t="s">
        <v>403</v>
      </c>
      <c r="C25" s="241" t="s">
        <v>415</v>
      </c>
      <c r="D25" s="241"/>
      <c r="E25" s="44">
        <f>50000*265</f>
        <v>13250000</v>
      </c>
      <c r="F25" s="44">
        <f>60000*285</f>
        <v>17100000</v>
      </c>
      <c r="G25" s="44">
        <f>70000*295</f>
        <v>20650000</v>
      </c>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267"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f>IF(E25="","",(E25+E26)/E19)</f>
        <v>265</v>
      </c>
      <c r="F27" s="246">
        <f>IF(F25="","",(F25+F26)/F19)</f>
        <v>285</v>
      </c>
      <c r="G27" s="246">
        <f>IF(G25="","",(G25+G26)/G19)</f>
        <v>295</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267" customFormat="1" ht="18" customHeight="1" x14ac:dyDescent="0.25">
      <c r="A30" s="249"/>
      <c r="B30" s="241" t="s">
        <v>406</v>
      </c>
      <c r="C30" s="250" t="s">
        <v>680</v>
      </c>
      <c r="D30" s="250"/>
      <c r="E30" s="46">
        <v>156.6</v>
      </c>
      <c r="F30" s="46">
        <v>154.19999999999999</v>
      </c>
      <c r="G30" s="46">
        <v>169.7</v>
      </c>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267" customFormat="1" ht="33" customHeight="1" x14ac:dyDescent="0.25">
      <c r="A31" s="238"/>
      <c r="B31" s="241" t="s">
        <v>407</v>
      </c>
      <c r="C31" s="712" t="s">
        <v>418</v>
      </c>
      <c r="D31" s="713"/>
      <c r="E31" s="246">
        <f>IF(E30="","",($D$8/E30)*E27)</f>
        <v>409.00702426564499</v>
      </c>
      <c r="F31" s="246">
        <f>IF(F30="","",($D$8/F30)*F27)</f>
        <v>446.72178988326846</v>
      </c>
      <c r="G31" s="246">
        <f>IF(G30="","",($D$8/G30)*G27)</f>
        <v>420.16205067766646</v>
      </c>
      <c r="H31" s="254">
        <f>Escalation!J4</f>
        <v>467.16064659284638</v>
      </c>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267" customFormat="1" ht="18" customHeight="1" x14ac:dyDescent="0.25">
      <c r="A34" s="714" t="s">
        <v>1125</v>
      </c>
      <c r="B34" s="715"/>
      <c r="C34" s="715"/>
      <c r="D34" s="715"/>
      <c r="E34" s="634"/>
      <c r="F34" s="634"/>
      <c r="G34" s="634"/>
      <c r="H34" s="634"/>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267"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267" customFormat="1" ht="18" customHeight="1" x14ac:dyDescent="0.25">
      <c r="A36" s="238"/>
      <c r="B36" s="241" t="s">
        <v>1128</v>
      </c>
      <c r="C36" s="241" t="s">
        <v>1129</v>
      </c>
      <c r="D36" s="243" t="s">
        <v>1280</v>
      </c>
      <c r="E36" s="253"/>
      <c r="F36" s="253">
        <v>-20</v>
      </c>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267"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267"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267"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267"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267" customFormat="1" ht="18" customHeight="1" x14ac:dyDescent="0.25">
      <c r="A41" s="239" t="s">
        <v>1136</v>
      </c>
      <c r="B41" s="238"/>
      <c r="C41" s="238"/>
      <c r="D41" s="238"/>
      <c r="E41" s="246">
        <f>IF(E31="","",E31+SUM(E36:E39))</f>
        <v>409.00702426564499</v>
      </c>
      <c r="F41" s="246">
        <f>IF(F31="","",F31+SUM(F36:F39))</f>
        <v>426.72178988326846</v>
      </c>
      <c r="G41" s="246">
        <f>IF(G31="","",G31+SUM(G36:G39))</f>
        <v>420.16205067766646</v>
      </c>
      <c r="H41" s="246">
        <f>IF(H31="","",H31+SUM(H36:H39))</f>
        <v>467.16064659284638</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267" customFormat="1" ht="18" customHeight="1" thickBot="1" x14ac:dyDescent="0.3">
      <c r="A44" s="238"/>
      <c r="B44" s="241" t="s">
        <v>966</v>
      </c>
      <c r="C44" s="241" t="s">
        <v>1150</v>
      </c>
      <c r="D44" s="241"/>
      <c r="E44" s="255">
        <f>IF(E41="","",E41)</f>
        <v>409.00702426564499</v>
      </c>
      <c r="F44" s="256">
        <f>IF(F41="","",F41)</f>
        <v>426.72178988326846</v>
      </c>
      <c r="G44" s="256">
        <f>IF(G41="","",G41)</f>
        <v>420.16205067766646</v>
      </c>
      <c r="H44" s="257">
        <f>IF(H41="","",H41)</f>
        <v>467.16064659284638</v>
      </c>
      <c r="I44" s="238"/>
      <c r="J44" s="238"/>
      <c r="K44" s="238"/>
      <c r="L44" s="284"/>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267" customFormat="1" ht="33" customHeight="1" thickBot="1" x14ac:dyDescent="0.3">
      <c r="A45" s="238"/>
      <c r="B45" s="241" t="s">
        <v>967</v>
      </c>
      <c r="C45" s="700" t="s">
        <v>1151</v>
      </c>
      <c r="D45" s="701"/>
      <c r="E45" s="702">
        <f>IF(AND(E44="",F44="",G44="",H44=""),0,SUM((E44:H44))/D50)</f>
        <v>430.76287785485658</v>
      </c>
      <c r="F45" s="703"/>
      <c r="G45" s="703"/>
      <c r="H45" s="704"/>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267"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4</v>
      </c>
      <c r="E50" s="263">
        <f>IF(E41="",0,1)</f>
        <v>1</v>
      </c>
      <c r="F50" s="263">
        <f>IF(F41="",0,1)</f>
        <v>1</v>
      </c>
      <c r="G50" s="263">
        <f>IF(G41="",0,1)</f>
        <v>1</v>
      </c>
      <c r="H50" s="263">
        <f>IF(H41="",0,1)</f>
        <v>1</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uMlMEM9daLwD57I36NCgwlEltbJKhv86o8GVxgMr/A+Jtst3ZOPWckofIeOFXqxzPm+O1ZcTF/0LGrk9iei2rw==" saltValue="suDkEEaK9AOLt19NiXTeMw=="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39" priority="17" operator="containsText" text="Selected">
      <formula>NOT(ISERROR(SEARCH("Selected",C9)))</formula>
    </cfRule>
    <cfRule type="containsText" dxfId="38" priority="18" operator="containsText" text="No">
      <formula>NOT(ISERROR(SEARCH("No",C9)))</formula>
    </cfRule>
  </conditionalFormatting>
  <conditionalFormatting sqref="A45:B45 E31:G31 E17:G18 E45 E29:H29 E10 E32:H33 E12:H12 A10:D35 E35:H35 E20:G24 E26:G28 H30 G36:H36 A37:H44 A36:C36 E11:G11">
    <cfRule type="expression" dxfId="37" priority="16">
      <formula>#REF!="Database"</formula>
    </cfRule>
  </conditionalFormatting>
  <conditionalFormatting sqref="H13:H28">
    <cfRule type="expression" dxfId="36" priority="14">
      <formula>#REF!="Database"</formula>
    </cfRule>
  </conditionalFormatting>
  <conditionalFormatting sqref="C45">
    <cfRule type="expression" dxfId="35" priority="13">
      <formula>#REF!="Database"</formula>
    </cfRule>
  </conditionalFormatting>
  <conditionalFormatting sqref="H11">
    <cfRule type="expression" dxfId="34" priority="7">
      <formula>#REF!="Database"</formula>
    </cfRule>
  </conditionalFormatting>
  <conditionalFormatting sqref="E13:G16">
    <cfRule type="expression" dxfId="33" priority="6">
      <formula>#REF!="Database"</formula>
    </cfRule>
  </conditionalFormatting>
  <conditionalFormatting sqref="E19:G19">
    <cfRule type="expression" dxfId="32" priority="5">
      <formula>#REF!="Database"</formula>
    </cfRule>
  </conditionalFormatting>
  <conditionalFormatting sqref="E25:G25">
    <cfRule type="expression" dxfId="31" priority="4">
      <formula>#REF!="Database"</formula>
    </cfRule>
  </conditionalFormatting>
  <conditionalFormatting sqref="E30:G30">
    <cfRule type="expression" dxfId="30" priority="3">
      <formula>#REF!="Database"</formula>
    </cfRule>
  </conditionalFormatting>
  <conditionalFormatting sqref="H31">
    <cfRule type="expression" dxfId="29" priority="2">
      <formula>#REF!="Database"</formula>
    </cfRule>
  </conditionalFormatting>
  <conditionalFormatting sqref="D36:F36">
    <cfRule type="expression" dxfId="28"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d71177c8ce2355c6dd239b7a42f3e21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302041d5d46975e654b1dc6c3db782a7"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34989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Forms in Development</TermName>
          <TermId xmlns="http://schemas.microsoft.com/office/infopath/2007/PartnerControls">8166a519-5c38-4840-8555-030fd0394eb7</TermId>
        </TermInfo>
      </Terms>
    </a2b2925f89424e5ea61293b13ae30a39>
    <Final1 xmlns="86a43da4-4ab0-4298-9469-8b62a3adde5a">false</Final1>
    <_dlc_DocId xmlns="86a43da4-4ab0-4298-9469-8b62a3adde5a">BCOM-1944716176-242</_dlc_DocId>
    <LiveLinkID xmlns="86a43da4-4ab0-4298-9469-8b62a3adde5a" xsi:nil="true"/>
    <_dlc_DocIdUrl xmlns="86a43da4-4ab0-4298-9469-8b62a3adde5a">
      <Url>https://covgov.sharepoint.com/sites/dgs-cpu/cradm/_layouts/15/DocIdRedir.aspx?ID=BCOM-1944716176-242</Url>
      <Description>BCOM-1944716176-242</Description>
    </_dlc_DocIdUrl>
    <c133cc8d12ae48a981385e46ee7063e4 xmlns="86a43da4-4ab0-4298-9469-8b62a3adde5a" xsi:nil="true"/>
  </documentManagement>
</p:properties>
</file>

<file path=customXml/itemProps1.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2.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3.xml><?xml version="1.0" encoding="utf-8"?>
<ds:datastoreItem xmlns:ds="http://schemas.openxmlformats.org/officeDocument/2006/customXml" ds:itemID="{43D1BCA4-8E9B-41B8-8337-DCAA5125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5.xml><?xml version="1.0" encoding="utf-8"?>
<ds:datastoreItem xmlns:ds="http://schemas.openxmlformats.org/officeDocument/2006/customXml" ds:itemID="{A242F2E7-77DC-45F1-95D8-8D0EB9564F4E}">
  <ds:schemaRefs>
    <ds:schemaRef ds:uri="http://schemas.openxmlformats.org/package/2006/metadata/core-properties"/>
    <ds:schemaRef ds:uri="http://purl.org/dc/dcmitype/"/>
    <ds:schemaRef ds:uri="http://purl.org/dc/terms/"/>
    <ds:schemaRef ds:uri="86a43da4-4ab0-4298-9469-8b62a3adde5a"/>
    <ds:schemaRef ds:uri="http://schemas.microsoft.com/office/2006/documentManagement/types"/>
    <ds:schemaRef ds:uri="http://purl.org/dc/elements/1.1/"/>
    <ds:schemaRef ds:uri="http://www.w3.org/XML/1998/namespace"/>
    <ds:schemaRef ds:uri="http://schemas.microsoft.com/office/infopath/2007/PartnerControls"/>
    <ds:schemaRef ds:uri="17249c58-a7f9-45bf-b724-c35829f8e11f"/>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VITA Program</cp:lastModifiedBy>
  <cp:lastPrinted>2022-06-16T01:13:01Z</cp:lastPrinted>
  <dcterms:created xsi:type="dcterms:W3CDTF">2003-03-20T14:47:59Z</dcterms:created>
  <dcterms:modified xsi:type="dcterms:W3CDTF">2022-08-04T19:39:58Z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3ee9e844-26ca-4d9e-85fc-0dbb74acb373</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34989;#Forms in Development|8166a519-5c38-4840-8555-030fd0394eb7</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