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drawings/drawing17.xml" ContentType="application/vnd.openxmlformats-officedocument.drawing+xml"/>
  <Override PartName="/xl/comments7.xml" ContentType="application/vnd.openxmlformats-officedocument.spreadsheetml.comments+xml"/>
  <Override PartName="/xl/drawings/drawing18.xml" ContentType="application/vnd.openxmlformats-officedocument.drawing+xml"/>
  <Override PartName="/xl/tables/table4.xml" ContentType="application/vnd.openxmlformats-officedocument.spreadsheetml.table+xml"/>
  <Override PartName="/xl/drawings/drawing19.xml" ContentType="application/vnd.openxmlformats-officedocument.drawing+xml"/>
  <Override PartName="/xl/tables/table5.xml" ContentType="application/vnd.openxmlformats-officedocument.spreadsheetml.table+xml"/>
  <Override PartName="/xl/drawings/drawing20.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updateLinks="never" codeName="ThisWorkbook" defaultThemeVersion="124226"/>
  <mc:AlternateContent xmlns:mc="http://schemas.openxmlformats.org/markup-compatibility/2006">
    <mc:Choice Requires="x15">
      <x15ac:absPath xmlns:x15ac="http://schemas.microsoft.com/office/spreadsheetml/2010/11/ac" url="https://covgov.sharepoint.com/sites/dgs-cpu/cradm/Templates/"/>
    </mc:Choice>
  </mc:AlternateContent>
  <xr:revisionPtr revIDLastSave="0" documentId="8_{6D07A351-8665-40D8-A1CC-CE0E17F712F9}" xr6:coauthVersionLast="47" xr6:coauthVersionMax="47" xr10:uidLastSave="{00000000-0000-0000-0000-000000000000}"/>
  <workbookProtection workbookAlgorithmName="SHA-512" workbookHashValue="I3VWvTTaS0OWE+Yr5e26lwa/xqpriHNBLhMhJkdPiUrqk3v0xjsG0d8Qz0BPEu+Oq0th5h3VSKJl1S/nTJPyIw==" workbookSaltValue="SrAsCj9m8Pr6h7VR0ON3gQ==" workbookSpinCount="100000" lockStructure="1"/>
  <bookViews>
    <workbookView xWindow="-28920" yWindow="-120" windowWidth="29040" windowHeight="15720" xr2:uid="{9D3FB132-6A36-45DA-9909-B1001C30D3BF}"/>
  </bookViews>
  <sheets>
    <sheet name="P-Index" sheetId="77" r:id="rId1"/>
    <sheet name="P-Executive Summary" sheetId="84" r:id="rId2"/>
    <sheet name="P-Overview" sheetId="82" r:id="rId3"/>
    <sheet name="U-Narrative" sheetId="47" r:id="rId4"/>
    <sheet name="P-Budget" sheetId="9" r:id="rId5"/>
    <sheet name="P-Blender" sheetId="62" r:id="rId6"/>
    <sheet name="P-Type 1 Prog" sheetId="71" r:id="rId7"/>
    <sheet name="U-Type 1 Attr" sheetId="21" r:id="rId8"/>
    <sheet name="P-Type 1 Comps" sheetId="79" r:id="rId9"/>
    <sheet name="Cost  Multiplier" sheetId="87" state="hidden" r:id="rId10"/>
    <sheet name="P-Type 2 Prog" sheetId="70" r:id="rId11"/>
    <sheet name="U-Type 2 Attr" sheetId="72" r:id="rId12"/>
    <sheet name="P-Type 2 Comps" sheetId="98" r:id="rId13"/>
    <sheet name="P-Type 3 Prog" sheetId="56" r:id="rId14"/>
    <sheet name="U-Type 3 Attr" sheetId="73" r:id="rId15"/>
    <sheet name="P-Type 3 Comps" sheetId="99" r:id="rId16"/>
    <sheet name="P-Estimate" sheetId="74" r:id="rId17"/>
    <sheet name="P-Escalation" sheetId="83" r:id="rId18"/>
    <sheet name="VBCCD BldgTypes" sheetId="85" state="hidden" r:id="rId19"/>
    <sheet name="VBCCD Table" sheetId="86" state="hidden" r:id="rId20"/>
    <sheet name="VBCCD Summary (PUBLISH-2026)" sheetId="106" state="hidden" r:id="rId21"/>
    <sheet name="U-DWGs" sheetId="46" r:id="rId22"/>
    <sheet name="P-HCI" sheetId="16" r:id="rId23"/>
    <sheet name="P-DP Estimate" sheetId="44" r:id="rId24"/>
    <sheet name="NameBackup_260401_1415" sheetId="103" state="hidden" r:id="rId25"/>
    <sheet name="P-Inst - Writ" sheetId="81" r:id="rId26"/>
    <sheet name="P-Inst - Flo-Ch" sheetId="63" r:id="rId27"/>
    <sheet name="Future Updates" sheetId="101" state="hidden" r:id="rId28"/>
    <sheet name="Updates" sheetId="100" state="hidden" r:id="rId29"/>
    <sheet name="VLOOKUPS" sheetId="25" state="hidden" r:id="rId30"/>
    <sheet name="Codes" sheetId="3" state="hidden" r:id="rId31"/>
  </sheets>
  <definedNames>
    <definedName name="_xlnm._FilterDatabase" localSheetId="20" hidden="1">'VBCCD Summary (PUBLISH-2026)'!$B$10:$AL$129</definedName>
    <definedName name="_Val2" localSheetId="27">#REF!</definedName>
    <definedName name="_Val2">#REF!</definedName>
    <definedName name="Abatement" localSheetId="27">#REF!</definedName>
    <definedName name="Abatement">#REF!</definedName>
    <definedName name="Acquisition" localSheetId="27">#REF!</definedName>
    <definedName name="Acquisition">#REF!</definedName>
    <definedName name="AdminConst" localSheetId="27">#REF!</definedName>
    <definedName name="AdminConst">#REF!</definedName>
    <definedName name="AdminPercent" localSheetId="27">#REF!</definedName>
    <definedName name="AdminPercent">#REF!</definedName>
    <definedName name="AdminRem" localSheetId="27">#REF!</definedName>
    <definedName name="AdminRem">#REF!</definedName>
    <definedName name="AEFeeType" localSheetId="27">#REF!</definedName>
    <definedName name="AEFeeType">#REF!</definedName>
    <definedName name="AETotal" localSheetId="27">#REF!</definedName>
    <definedName name="AETotal">#REF!</definedName>
    <definedName name="AgencyName" localSheetId="27">#REF!</definedName>
    <definedName name="AgencyName">#REF!</definedName>
    <definedName name="Award" localSheetId="27">#REF!</definedName>
    <definedName name="Award">#REF!</definedName>
    <definedName name="BegDesign" localSheetId="27">#REF!</definedName>
    <definedName name="BegDesign">#REF!</definedName>
    <definedName name="BidDate" localSheetId="27">#REF!</definedName>
    <definedName name="BidDate">#REF!</definedName>
    <definedName name="Biennium" localSheetId="27">#REF!</definedName>
    <definedName name="Biennium">#REF!</definedName>
    <definedName name="BldgCategory" localSheetId="27">#REF!</definedName>
    <definedName name="BldgCategory" localSheetId="12">'P-Type 2 Comps'!$D$5</definedName>
    <definedName name="BldgCategory" localSheetId="15">'P-Type 3 Comps'!$D$5</definedName>
    <definedName name="BldgCategory">'P-Type 1 Comps'!$D$5</definedName>
    <definedName name="Blender_PWEndLimit" localSheetId="27">tbl_Blender_PWpercent_1 #REF!</definedName>
    <definedName name="Blender_PWEndLimit">tbl_Blender_PWpercent_1 #REF!</definedName>
    <definedName name="Blender_PWpercentage" localSheetId="27">[0]!tbl_Blender_PWpercent #REF!</definedName>
    <definedName name="Blender_PWpercentage" localSheetId="20">[0]!tbl_Blender_PWpercent #REF!</definedName>
    <definedName name="Blender_PWpercentage">[0]!tbl_Blender_PWpercent #REF!</definedName>
    <definedName name="Blender_PWStartLimit" localSheetId="27">[0]!tbl_Blender_PWpercent #REF!</definedName>
    <definedName name="Blender_PWStartLimit" localSheetId="20">[0]!tbl_Blender_PWpercent #REF!</definedName>
    <definedName name="Blender_PWStartLimit">[0]!tbl_Blender_PWpercent #REF!</definedName>
    <definedName name="BudWOadmin" localSheetId="27">#REF!</definedName>
    <definedName name="BudWOadmin">#REF!</definedName>
    <definedName name="Campus" localSheetId="27">#REF!</definedName>
    <definedName name="Campus">#REF!</definedName>
    <definedName name="CampusLocation" localSheetId="27">#REF!</definedName>
    <definedName name="CampusLocation">#REF!</definedName>
    <definedName name="Categories" localSheetId="27">#REF!</definedName>
    <definedName name="Categories">#REF!</definedName>
    <definedName name="CLASSROOM_BUILDINGS">'VBCCD BldgTypes'!$E$4:$E$18</definedName>
    <definedName name="CM_ProjectType" localSheetId="12">tbl_ProjectTypes_SF_CM[Project Type (ths part) - Quantity Unit]</definedName>
    <definedName name="CM_ProjectType" localSheetId="15">tbl_ProjectTypes_SF_CM[Project Type (ths part) - Quantity Unit]</definedName>
    <definedName name="CM_ProjectType">tbl_ProjectTypes_SF_CM[Project Type (ths part) - Quantity Unit]</definedName>
    <definedName name="CMFee" localSheetId="27">#REF!</definedName>
    <definedName name="CMFee">#REF!</definedName>
    <definedName name="CompInf" localSheetId="27">#REF!</definedName>
    <definedName name="CompInf">#REF!</definedName>
    <definedName name="ConstComp" localSheetId="27">#REF!</definedName>
    <definedName name="ConstComp">#REF!</definedName>
    <definedName name="ConstCostNew" localSheetId="27">#REF!</definedName>
    <definedName name="ConstCostNew">#REF!</definedName>
    <definedName name="ConstCostRenov" localSheetId="27">#REF!</definedName>
    <definedName name="ConstCostRenov">#REF!</definedName>
    <definedName name="ConstStart" localSheetId="27">#REF!</definedName>
    <definedName name="ConstStart">#REF!</definedName>
    <definedName name="CostsAsOfDate" localSheetId="27">#REF!</definedName>
    <definedName name="CostsAsOfDate">#REF!</definedName>
    <definedName name="COURTS">'VBCCD BldgTypes'!$G$4:$G$18</definedName>
    <definedName name="Dates" localSheetId="27">#REF!</definedName>
    <definedName name="Dates">#REF!</definedName>
    <definedName name="dd_BldgCategory" localSheetId="12">tbl_VBCCDBldgTypes2024[#Headers]</definedName>
    <definedName name="dd_BldgCategory" localSheetId="15">tbl_VBCCDBldgTypes2024[#Headers]</definedName>
    <definedName name="dd_BldgCategory">tbl_VBCCDBldgTypes2024[#Headers]</definedName>
    <definedName name="dd_BldgTypes2" localSheetId="27">INDEX(#REF!,1,'Future Updates'!dd_col_num):INDEX(#REF!,COUNTA('Future Updates'!dd_col),'Future Updates'!dd_col_num)</definedName>
    <definedName name="dd_BldgTypes2" localSheetId="12">INDEX(tbl_VBCCDBldgTypes2024[],1,'P-Type 2 Comps'!dd_col_num):INDEX(tbl_VBCCDBldgTypes2024[],COUNTA('P-Type 2 Comps'!dd_col),'P-Type 2 Comps'!dd_col_num)</definedName>
    <definedName name="dd_BldgTypes2" localSheetId="15">INDEX(tbl_VBCCDBldgTypes2024[],1,'P-Type 3 Comps'!dd_col_num):INDEX(tbl_VBCCDBldgTypes2024[],COUNTA('P-Type 3 Comps'!dd_col),'P-Type 3 Comps'!dd_col_num)</definedName>
    <definedName name="dd_BldgTypes2">INDEX(tbl_VBCCDBldgTypes2024[],1,dd_col_num):INDEX(tbl_VBCCDBldgTypes2024[],COUNTA(dd_col),dd_col_num)</definedName>
    <definedName name="dd_col" localSheetId="27">INDEX(#REF!,,'Future Updates'!dd_col_num)</definedName>
    <definedName name="dd_col" localSheetId="12">INDEX(tbl_VBCCDBldgTypes2024[],,'P-Type 2 Comps'!dd_col_num)</definedName>
    <definedName name="dd_col" localSheetId="15">INDEX(tbl_VBCCDBldgTypes2024[],,'P-Type 3 Comps'!dd_col_num)</definedName>
    <definedName name="dd_col">INDEX(tbl_VBCCDBldgTypes2024[],,dd_col_num)</definedName>
    <definedName name="dd_col_num" localSheetId="27">MATCH('Future Updates'!BldgCategory,dd_BldgCategory,0)</definedName>
    <definedName name="dd_col_num" localSheetId="12">MATCH('P-Type 2 Comps'!BldgCategory,'P-Type 2 Comps'!dd_BldgCategory,0)</definedName>
    <definedName name="dd_col_num" localSheetId="15">MATCH('P-Type 3 Comps'!BldgCategory,'P-Type 3 Comps'!dd_BldgCategory,0)</definedName>
    <definedName name="dd_col_num" localSheetId="20">MATCH([0]!BldgCategory,[0]!dd_BldgCategory,0)</definedName>
    <definedName name="dd_col_num">MATCH(BldgCategory,dd_BldgCategory,0)</definedName>
    <definedName name="DEB_LeadReviewers" localSheetId="27">#REF!</definedName>
    <definedName name="DEB_LeadReviewers">#REF!</definedName>
    <definedName name="Demolition" localSheetId="27">#REF!</definedName>
    <definedName name="Demolition">#REF!</definedName>
    <definedName name="DesignDates" localSheetId="27">#REF!</definedName>
    <definedName name="DesignDates">#REF!</definedName>
    <definedName name="DetailAdmin" localSheetId="27">#REF!</definedName>
    <definedName name="DetailAdmin">#REF!</definedName>
    <definedName name="DORMITORY">'VBCCD BldgTypes'!$H$4:$H$18</definedName>
    <definedName name="DPB_Analysts" localSheetId="27">#REF!</definedName>
    <definedName name="DPB_Analysts">#REF!</definedName>
    <definedName name="DRY_LABS_Physics_Buildings__Engineering_Buildings">'VBCCD BldgTypes'!$K$4:$K$18</definedName>
    <definedName name="EffArray" localSheetId="27">#REF!</definedName>
    <definedName name="EffArray">#REF!</definedName>
    <definedName name="EffCat" localSheetId="27">#REF!</definedName>
    <definedName name="EffCat">#REF!</definedName>
    <definedName name="EffType" localSheetId="27">#REF!</definedName>
    <definedName name="EffType">#REF!</definedName>
    <definedName name="EightMillion" localSheetId="27">#REF!</definedName>
    <definedName name="EightMillion">#REF!</definedName>
    <definedName name="EngConsult" localSheetId="27">#REF!</definedName>
    <definedName name="EngConsult">#REF!</definedName>
    <definedName name="EquipArray" localSheetId="27">#REF!</definedName>
    <definedName name="EquipArray">#REF!</definedName>
    <definedName name="EquipCat" localSheetId="27">#REF!</definedName>
    <definedName name="EquipCat">#REF!</definedName>
    <definedName name="EquipTotal" localSheetId="27">#REF!</definedName>
    <definedName name="EquipTotal">#REF!</definedName>
    <definedName name="FacType" localSheetId="27">#REF!</definedName>
    <definedName name="FacType">#REF!</definedName>
    <definedName name="FeeSched" localSheetId="27">#REF!</definedName>
    <definedName name="FeeSched">#REF!</definedName>
    <definedName name="FifteenMillion">15000000</definedName>
    <definedName name="FiftyK">50000</definedName>
    <definedName name="FIPS">Codes!$A$2:$A$138</definedName>
    <definedName name="First" localSheetId="27">#REF!</definedName>
    <definedName name="First">#REF!</definedName>
    <definedName name="FiscalYears" localSheetId="27">#REF!</definedName>
    <definedName name="FiscalYears">#REF!</definedName>
    <definedName name="FiveHundrThous">500000</definedName>
    <definedName name="FiveK">5000</definedName>
    <definedName name="FiveMillion">5000000</definedName>
    <definedName name="FOOD">'VBCCD BldgTypes'!$I$4:$I$18</definedName>
    <definedName name="GYM_PHYS_ED_BUILDINGS">'VBCCD BldgTypes'!$J$4:$J$18</definedName>
    <definedName name="Headers" localSheetId="27">#REF!,#REF!,#REF!,#REF!,#REF!,#REF!,#REF!</definedName>
    <definedName name="Headers">#REF!,#REF!,#REF!,#REF!,#REF!,#REF!,#REF!</definedName>
    <definedName name="InflRate" localSheetId="27">#REF!</definedName>
    <definedName name="InflRate">#REF!</definedName>
    <definedName name="InfraElement" localSheetId="27">#REF!</definedName>
    <definedName name="InfraElement">#REF!</definedName>
    <definedName name="InfRates" localSheetId="27">#REF!</definedName>
    <definedName name="InfRates">#REF!</definedName>
    <definedName name="LEED_AE" localSheetId="27">#REF!</definedName>
    <definedName name="LEED_AE">#REF!</definedName>
    <definedName name="LIBRARIES">'VBCCD BldgTypes'!$N$4:$N$18</definedName>
    <definedName name="MEDICAL">'VBCCD BldgTypes'!$O$4:$O$18</definedName>
    <definedName name="MidConstInf" localSheetId="27">#REF!</definedName>
    <definedName name="MidConstInf">#REF!</definedName>
    <definedName name="MidDesignInf" localSheetId="27">#REF!</definedName>
    <definedName name="MidDesignInf">#REF!</definedName>
    <definedName name="Miscellaneous">'VBCCD BldgTypes'!$X$4:$X$18</definedName>
    <definedName name="MULTIPURPOSE_BUILDINGS">'VBCCD BldgTypes'!$P$4:$P$18</definedName>
    <definedName name="MUSEUMS">'VBCCD BldgTypes'!$Q$4:$Q$18</definedName>
    <definedName name="NewCostCurr" localSheetId="27">#REF!</definedName>
    <definedName name="NewCostCurr">#REF!</definedName>
    <definedName name="NewCostSF" localSheetId="27">#REF!</definedName>
    <definedName name="NewCostSF">#REF!</definedName>
    <definedName name="NewGSF" localSheetId="27">#REF!</definedName>
    <definedName name="NewGSF">#REF!</definedName>
    <definedName name="NoOfBeds" localSheetId="27">#REF!</definedName>
    <definedName name="NoOfBeds">#REF!</definedName>
    <definedName name="OccupInf" localSheetId="27">#REF!</definedName>
    <definedName name="OccupInf">#REF!</definedName>
    <definedName name="Occupy" localSheetId="27">#REF!</definedName>
    <definedName name="Occupy">#REF!</definedName>
    <definedName name="OFFICE_BUILDINGS">'VBCCD BldgTypes'!$R$4:$R$18</definedName>
    <definedName name="OneMillion" localSheetId="27">#REF!</definedName>
    <definedName name="OneMillion">#REF!</definedName>
    <definedName name="PARKING">'VBCCD BldgTypes'!$S$4:$S$18</definedName>
    <definedName name="PARKING_STRUCTURE">'VBCCD BldgTypes'!$T$4:$T$18</definedName>
    <definedName name="PerConstTime" localSheetId="27">#REF!</definedName>
    <definedName name="PerConstTime">#REF!</definedName>
    <definedName name="PerDesTime" localSheetId="27">#REF!</definedName>
    <definedName name="PerDesTime">#REF!</definedName>
    <definedName name="PlanBud" localSheetId="27">#REF!</definedName>
    <definedName name="PlanBud">#REF!</definedName>
    <definedName name="Planning" localSheetId="27">#REF!</definedName>
    <definedName name="Planning">#REF!</definedName>
    <definedName name="PName" localSheetId="27">#REF!</definedName>
    <definedName name="PName">#REF!</definedName>
    <definedName name="PreAdminFee" localSheetId="27">#REF!</definedName>
    <definedName name="PreAdminFee">#REF!</definedName>
    <definedName name="Preliminaries" localSheetId="27">#REF!</definedName>
    <definedName name="Preliminaries">#REF!</definedName>
    <definedName name="PrepDate" localSheetId="27">#REF!</definedName>
    <definedName name="PrepDate">#REF!</definedName>
    <definedName name="PrePlanArray" localSheetId="27">#REF!</definedName>
    <definedName name="PrePlanArray">#REF!</definedName>
    <definedName name="PrePlanType" localSheetId="27">#REF!</definedName>
    <definedName name="PrePlanType">#REF!</definedName>
    <definedName name="_xlnm.Print_Area" localSheetId="5">'P-Blender'!$A$2:$N$18</definedName>
    <definedName name="_xlnm.Print_Area" localSheetId="4">'P-Budget'!$A$2:$T$73</definedName>
    <definedName name="_xlnm.Print_Area" localSheetId="23">'P-DP Estimate'!$A$1:$G$49</definedName>
    <definedName name="_xlnm.Print_Area" localSheetId="17">'P-Escalation'!$A$1:$L$66</definedName>
    <definedName name="_xlnm.Print_Area" localSheetId="16">'P-Estimate'!$A$2:$F$81</definedName>
    <definedName name="_xlnm.Print_Area" localSheetId="1">'P-Executive Summary'!$B$1:$J$29</definedName>
    <definedName name="_xlnm.Print_Area" localSheetId="22">'P-HCI'!$GC$3:$GI$33</definedName>
    <definedName name="_xlnm.Print_Area" localSheetId="0">'P-Index'!$A$1:$Q$15</definedName>
    <definedName name="_xlnm.Print_Area" localSheetId="26">'P-Inst - Flo-Ch'!$B$3:$AS$134</definedName>
    <definedName name="_xlnm.Print_Area" localSheetId="25">'P-Inst - Writ'!$B$3:$C$28</definedName>
    <definedName name="_xlnm.Print_Area" localSheetId="2">'P-Overview'!$A$2:$F$69</definedName>
    <definedName name="_xlnm.Print_Area" localSheetId="8">'P-Type 1 Comps'!$A$2:$I$49</definedName>
    <definedName name="_xlnm.Print_Area" localSheetId="6">'P-Type 1 Prog'!$A$2:$F$41</definedName>
    <definedName name="_xlnm.Print_Area" localSheetId="12">'P-Type 2 Comps'!$A$2:$I$49</definedName>
    <definedName name="_xlnm.Print_Area" localSheetId="10">'P-Type 2 Prog'!$A$2:$F$41</definedName>
    <definedName name="_xlnm.Print_Area" localSheetId="15">'P-Type 3 Comps'!$A$2:$I$49</definedName>
    <definedName name="_xlnm.Print_Area" localSheetId="13">'P-Type 3 Prog'!$A$2:$F$41</definedName>
    <definedName name="_xlnm.Print_Area" localSheetId="21">'U-DWGs'!$A$2:$C$70</definedName>
    <definedName name="_xlnm.Print_Area" localSheetId="3">'U-Narrative'!$A$2:$D$17</definedName>
    <definedName name="_xlnm.Print_Area" localSheetId="7">'U-Type 1 Attr'!$A$2:$D$38</definedName>
    <definedName name="_xlnm.Print_Area" localSheetId="11">'U-Type 2 Attr'!$A$2:$D$38</definedName>
    <definedName name="_xlnm.Print_Area" localSheetId="14">'U-Type 3 Attr'!$A$2:$D$38</definedName>
    <definedName name="_xlnm.Print_Area" localSheetId="20">'VBCCD Summary (PUBLISH-2026)'!$H$2:$N$146</definedName>
    <definedName name="_xlnm.Print_Titles" localSheetId="7">'U-Type 1 Attr'!$6:$6</definedName>
    <definedName name="_xlnm.Print_Titles" localSheetId="11">'U-Type 2 Attr'!$6:$6</definedName>
    <definedName name="_xlnm.Print_Titles" localSheetId="14">'U-Type 3 Attr'!$6:$6</definedName>
    <definedName name="_xlnm.Print_Titles" localSheetId="20">'VBCCD Summary (PUBLISH-2026)'!$10:$10</definedName>
    <definedName name="Priority" localSheetId="27">#REF!</definedName>
    <definedName name="Priority">#REF!</definedName>
    <definedName name="Project" localSheetId="27">#REF!</definedName>
    <definedName name="Project">#REF!</definedName>
    <definedName name="PROJECT_TYPE">Codes!$B$2:$B$187</definedName>
    <definedName name="ProjMethod" localSheetId="27">#REF!</definedName>
    <definedName name="ProjMethod">#REF!</definedName>
    <definedName name="ProjType" localSheetId="27">#REF!</definedName>
    <definedName name="ProjType">#REF!</definedName>
    <definedName name="PType" localSheetId="27">#REF!</definedName>
    <definedName name="PType">#REF!</definedName>
    <definedName name="PW" localSheetId="27">#REF!</definedName>
    <definedName name="PW">#REF!</definedName>
    <definedName name="QttyUnit" localSheetId="20">#REF!</definedName>
    <definedName name="QttyUnit">#REF!</definedName>
    <definedName name="RANGE" localSheetId="27">#REF!</definedName>
    <definedName name="RANGE">#REF!</definedName>
    <definedName name="RenovCostCurr" localSheetId="27">#REF!</definedName>
    <definedName name="RenovCostCurr">#REF!</definedName>
    <definedName name="RenovCostSF" localSheetId="27">#REF!</definedName>
    <definedName name="RenovCostSF">#REF!</definedName>
    <definedName name="RenovGSF" localSheetId="27">#REF!</definedName>
    <definedName name="RenovGSF">#REF!</definedName>
    <definedName name="RESEARCH_LABS">'VBCCD BldgTypes'!$M$4:$M$18</definedName>
    <definedName name="ReviewProcess" localSheetId="27">#REF!</definedName>
    <definedName name="ReviewProcess">#REF!</definedName>
    <definedName name="ROOFING">'VBCCD BldgTypes'!$U$4:$U$18</definedName>
    <definedName name="Schematics" localSheetId="27">#REF!</definedName>
    <definedName name="Schematics">#REF!</definedName>
    <definedName name="SecConsult" localSheetId="27">#REF!</definedName>
    <definedName name="SecConsult">#REF!</definedName>
    <definedName name="SelectAE" localSheetId="27">#REF!</definedName>
    <definedName name="SelectAE">#REF!</definedName>
    <definedName name="SF_CMMultiplier" localSheetId="12">tbl_ProjectTypes_SF_CM[SF_CM Application]</definedName>
    <definedName name="SF_CMMultiplier" localSheetId="15">tbl_ProjectTypes_SF_CM[SF_CM Application]</definedName>
    <definedName name="SF_CMMultiplier">tbl_ProjectTypes_SF_CM[SF_CM Application]</definedName>
    <definedName name="SiteArray" localSheetId="27">#REF!</definedName>
    <definedName name="SiteArray">#REF!</definedName>
    <definedName name="SitePercent" localSheetId="27">#REF!</definedName>
    <definedName name="SitePercent">#REF!</definedName>
    <definedName name="SiteType" localSheetId="27">#REF!</definedName>
    <definedName name="SiteType">#REF!</definedName>
    <definedName name="StoneSF" localSheetId="27">#REF!</definedName>
    <definedName name="StoneSF">#REF!</definedName>
    <definedName name="STUDENT_CENTERS">'VBCCD BldgTypes'!$V$4:$V$18</definedName>
    <definedName name="SurveyAc" localSheetId="27">#REF!</definedName>
    <definedName name="SurveyAc">#REF!</definedName>
    <definedName name="tbl_Blender_PW" localSheetId="27">#REF!</definedName>
    <definedName name="tbl_Blender_PW">#REF!</definedName>
    <definedName name="TenMillion">10000000</definedName>
    <definedName name="THEATERS">'VBCCD BldgTypes'!$W$4:$W$18</definedName>
    <definedName name="ThreeMillion">3000000</definedName>
    <definedName name="TotalSite" localSheetId="27">#REF!</definedName>
    <definedName name="TotalSite">#REF!</definedName>
    <definedName name="TwentyK">20000</definedName>
    <definedName name="TwentyMillion">20000000</definedName>
    <definedName name="TypePrePlan" localSheetId="27">#REF!</definedName>
    <definedName name="TypePrePlan">#REF!</definedName>
    <definedName name="TypeSurvey" localSheetId="27">#REF!</definedName>
    <definedName name="TypeSurvey">#REF!</definedName>
    <definedName name="UNIVERSITY_WELCOME_CENTERS">'VBCCD BldgTypes'!$Y$4:$Y$18</definedName>
    <definedName name="UtilUseage" localSheetId="27">#REF!</definedName>
    <definedName name="UtilUseage">#REF!</definedName>
    <definedName name="WET_LABS_Chemistry_Buildings__Biology_Buildings">'VBCCD BldgTypes'!$L$4:$L$18</definedName>
    <definedName name="Working" localSheetId="27">#REF!</definedName>
    <definedName name="Working">#REF!</definedName>
  </definedNames>
  <calcPr calcId="191028"/>
  <pivotCaches>
    <pivotCache cacheId="1416" r:id="rId3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9" i="82" l="1"/>
  <c r="U48" i="82"/>
  <c r="H12" i="9"/>
  <c r="I12" i="9"/>
  <c r="I27" i="9"/>
  <c r="D12" i="83" l="1" a="1"/>
  <c r="D12" i="83" s="1"/>
  <c r="G40" i="83"/>
  <c r="V49" i="82"/>
  <c r="V48" i="82"/>
  <c r="V47" i="82"/>
  <c r="I129" i="106"/>
  <c r="I127" i="106"/>
  <c r="I125" i="106"/>
  <c r="I124" i="106"/>
  <c r="I120" i="106"/>
  <c r="I119" i="106"/>
  <c r="I118" i="106"/>
  <c r="I117" i="106"/>
  <c r="I116" i="106"/>
  <c r="I115" i="106"/>
  <c r="I114" i="106"/>
  <c r="I113" i="106"/>
  <c r="I112" i="106"/>
  <c r="I111" i="106"/>
  <c r="I110" i="106"/>
  <c r="I109" i="106"/>
  <c r="I108" i="106"/>
  <c r="I107" i="106"/>
  <c r="I105" i="106"/>
  <c r="I104" i="106"/>
  <c r="I103" i="106"/>
  <c r="I102" i="106"/>
  <c r="I101" i="106"/>
  <c r="I100" i="106"/>
  <c r="I99" i="106"/>
  <c r="I97" i="106"/>
  <c r="I96" i="106"/>
  <c r="I94" i="106"/>
  <c r="I92" i="106"/>
  <c r="I91" i="106"/>
  <c r="I89" i="106"/>
  <c r="I87" i="106"/>
  <c r="I85" i="106"/>
  <c r="I84" i="106"/>
  <c r="I83" i="106"/>
  <c r="I82" i="106"/>
  <c r="I81" i="106"/>
  <c r="I80" i="106"/>
  <c r="I79" i="106"/>
  <c r="I77" i="106"/>
  <c r="I76" i="106"/>
  <c r="I75" i="106"/>
  <c r="I73" i="106"/>
  <c r="I72" i="106"/>
  <c r="I70" i="106"/>
  <c r="I69" i="106"/>
  <c r="I68" i="106"/>
  <c r="I67" i="106"/>
  <c r="I66" i="106"/>
  <c r="I64" i="106"/>
  <c r="I63" i="106"/>
  <c r="I62" i="106"/>
  <c r="I60" i="106"/>
  <c r="I59" i="106"/>
  <c r="I58" i="106"/>
  <c r="I56" i="106"/>
  <c r="I55" i="106"/>
  <c r="I54" i="106"/>
  <c r="I52" i="106"/>
  <c r="I51" i="106"/>
  <c r="I50" i="106"/>
  <c r="I49" i="106"/>
  <c r="I48" i="106"/>
  <c r="I47" i="106"/>
  <c r="I46" i="106"/>
  <c r="I45" i="106"/>
  <c r="I44" i="106"/>
  <c r="I42" i="106"/>
  <c r="I41" i="106"/>
  <c r="I39" i="106"/>
  <c r="I38" i="106"/>
  <c r="I37" i="106"/>
  <c r="I35" i="106"/>
  <c r="I34" i="106"/>
  <c r="I30" i="106"/>
  <c r="I28" i="106"/>
  <c r="I27" i="106"/>
  <c r="I26" i="106"/>
  <c r="I24" i="106"/>
  <c r="I22" i="106"/>
  <c r="I20" i="106"/>
  <c r="I19" i="106"/>
  <c r="I18" i="106"/>
  <c r="I17" i="106"/>
  <c r="I16" i="106"/>
  <c r="I14" i="106"/>
  <c r="I13" i="106"/>
  <c r="I12" i="106"/>
  <c r="G10" i="106"/>
  <c r="H5" i="106"/>
  <c r="Q4" i="106"/>
  <c r="R4" i="106" s="1"/>
  <c r="S4" i="106" s="1"/>
  <c r="T4" i="106" s="1"/>
  <c r="U4" i="106" s="1"/>
  <c r="V4" i="106" s="1"/>
  <c r="W4" i="106" s="1"/>
  <c r="X4" i="106" s="1"/>
  <c r="Y4" i="106" s="1"/>
  <c r="Z4" i="106" s="1"/>
  <c r="AA4" i="106" s="1"/>
  <c r="AB4" i="106" s="1"/>
  <c r="AC4" i="106" s="1"/>
  <c r="AD4" i="106" s="1"/>
  <c r="AE4" i="106" s="1"/>
  <c r="AF4" i="106" s="1"/>
  <c r="AG4" i="106" s="1"/>
  <c r="AH4" i="106" s="1"/>
  <c r="AI4" i="106" s="1"/>
  <c r="AJ4" i="106" s="1"/>
  <c r="AK4" i="106" s="1"/>
  <c r="AL4" i="106" s="1"/>
  <c r="H4" i="106"/>
  <c r="C11" i="85" l="1"/>
  <c r="B11" i="85" s="1"/>
  <c r="C12" i="85"/>
  <c r="B12" i="85" s="1"/>
  <c r="C13" i="85"/>
  <c r="B13" i="85" s="1"/>
  <c r="C14" i="85"/>
  <c r="B14" i="85" s="1"/>
  <c r="C4" i="85"/>
  <c r="C5" i="85"/>
  <c r="C6" i="85"/>
  <c r="C7" i="85"/>
  <c r="C8" i="85"/>
  <c r="C9" i="85"/>
  <c r="C10" i="85"/>
  <c r="C15" i="85"/>
  <c r="C16" i="85"/>
  <c r="C17" i="85"/>
  <c r="C18" i="85"/>
  <c r="GG6" i="16"/>
  <c r="GF6" i="16"/>
  <c r="HF6" i="16" l="1"/>
  <c r="C58" i="82"/>
  <c r="C57" i="82"/>
  <c r="C56" i="82"/>
  <c r="B58" i="82"/>
  <c r="B57" i="82"/>
  <c r="B56" i="82"/>
  <c r="C55" i="82"/>
  <c r="C54" i="82"/>
  <c r="C53" i="82"/>
  <c r="C52" i="82"/>
  <c r="B54" i="82"/>
  <c r="B53" i="82"/>
  <c r="C51" i="82"/>
  <c r="C50" i="82"/>
  <c r="B51" i="82"/>
  <c r="B50" i="82"/>
  <c r="B49" i="82"/>
  <c r="C49" i="82"/>
  <c r="U47" i="82"/>
  <c r="T49" i="82"/>
  <c r="T48" i="82"/>
  <c r="T47" i="82"/>
  <c r="S44" i="82"/>
  <c r="R44" i="82"/>
  <c r="Q44" i="82"/>
  <c r="P44" i="82"/>
  <c r="B7" i="101"/>
  <c r="B6" i="101"/>
  <c r="B5" i="101"/>
  <c r="B4" i="101"/>
  <c r="E41" i="44"/>
  <c r="G41" i="44" s="1"/>
  <c r="E27" i="44"/>
  <c r="G27" i="44" s="1"/>
  <c r="D74" i="82"/>
  <c r="D73" i="82"/>
  <c r="G58" i="83"/>
  <c r="G52" i="83"/>
  <c r="G34" i="83"/>
  <c r="G28" i="83"/>
  <c r="G22" i="83"/>
  <c r="F8" i="9"/>
  <c r="C24" i="82" s="1"/>
  <c r="F9" i="74"/>
  <c r="GG34" i="16"/>
  <c r="GF34" i="16"/>
  <c r="GG33" i="16"/>
  <c r="GF33" i="16"/>
  <c r="GG32" i="16"/>
  <c r="GF32" i="16"/>
  <c r="GG31" i="16"/>
  <c r="GF31" i="16"/>
  <c r="GG30" i="16"/>
  <c r="GF30" i="16"/>
  <c r="GG29" i="16"/>
  <c r="GF29" i="16"/>
  <c r="GG28" i="16"/>
  <c r="GF28" i="16"/>
  <c r="GG27" i="16"/>
  <c r="GF27" i="16"/>
  <c r="HF27" i="16" s="1"/>
  <c r="GG26" i="16"/>
  <c r="GF26" i="16"/>
  <c r="GG25" i="16"/>
  <c r="GF25" i="16"/>
  <c r="GG24" i="16"/>
  <c r="GF24" i="16"/>
  <c r="GG23" i="16"/>
  <c r="GF23" i="16"/>
  <c r="GG22" i="16"/>
  <c r="GF22" i="16"/>
  <c r="GG21" i="16"/>
  <c r="GF21" i="16"/>
  <c r="GG20" i="16"/>
  <c r="GF20" i="16"/>
  <c r="HF20" i="16" s="1"/>
  <c r="GG19" i="16"/>
  <c r="GF19" i="16"/>
  <c r="GG18" i="16"/>
  <c r="GF18" i="16"/>
  <c r="GG17" i="16"/>
  <c r="GF17" i="16"/>
  <c r="GG16" i="16"/>
  <c r="GF16" i="16"/>
  <c r="HF16" i="16" s="1"/>
  <c r="GG15" i="16"/>
  <c r="GF15" i="16"/>
  <c r="GG14" i="16"/>
  <c r="GF14" i="16"/>
  <c r="GG13" i="16"/>
  <c r="GF13" i="16"/>
  <c r="GG12" i="16"/>
  <c r="GF12" i="16"/>
  <c r="GG11" i="16"/>
  <c r="GF11" i="16"/>
  <c r="GG10" i="16"/>
  <c r="GF10" i="16"/>
  <c r="GG9" i="16"/>
  <c r="HF9" i="16" s="1"/>
  <c r="GG8" i="16"/>
  <c r="GF8" i="16"/>
  <c r="GG7" i="16"/>
  <c r="GF7" i="16"/>
  <c r="F2" i="16"/>
  <c r="F12" i="83" s="1"/>
  <c r="C47" i="82"/>
  <c r="G46" i="83" s="1"/>
  <c r="F10" i="74"/>
  <c r="H15" i="99"/>
  <c r="H15" i="98"/>
  <c r="H15" i="79"/>
  <c r="D12" i="62"/>
  <c r="I12" i="62" s="1"/>
  <c r="D10" i="62"/>
  <c r="G10" i="62" s="1"/>
  <c r="C10" i="62"/>
  <c r="C8" i="62"/>
  <c r="C12" i="62"/>
  <c r="D8" i="62"/>
  <c r="G8" i="62" s="1"/>
  <c r="H34" i="99"/>
  <c r="G31" i="99"/>
  <c r="G35" i="99"/>
  <c r="G45" i="99" s="1"/>
  <c r="G48" i="99" s="1"/>
  <c r="F31" i="99"/>
  <c r="F35" i="99"/>
  <c r="F45" i="99" s="1"/>
  <c r="F48" i="99" s="1"/>
  <c r="E31" i="99"/>
  <c r="E35" i="99"/>
  <c r="E45" i="99" s="1"/>
  <c r="E48" i="99" s="1"/>
  <c r="H17" i="99"/>
  <c r="E14" i="99"/>
  <c r="H34" i="98"/>
  <c r="G31" i="98"/>
  <c r="G35" i="98"/>
  <c r="G45" i="98" s="1"/>
  <c r="G48" i="98" s="1"/>
  <c r="F31" i="98"/>
  <c r="F35" i="98"/>
  <c r="F45" i="98" s="1"/>
  <c r="F48" i="98" s="1"/>
  <c r="E31" i="98"/>
  <c r="E35" i="98"/>
  <c r="E45" i="98" s="1"/>
  <c r="E48" i="98" s="1"/>
  <c r="H17" i="98"/>
  <c r="E14" i="98"/>
  <c r="E14" i="79"/>
  <c r="H17" i="79"/>
  <c r="H34" i="79"/>
  <c r="G19" i="85"/>
  <c r="E2" i="85" s="1"/>
  <c r="T10" i="86" s="1" a="1"/>
  <c r="T10" i="86" s="1"/>
  <c r="H19" i="85"/>
  <c r="G2" i="85" s="1"/>
  <c r="T11" i="86" s="1" a="1"/>
  <c r="T11" i="86" s="1"/>
  <c r="I19" i="85"/>
  <c r="H2" i="85" s="1"/>
  <c r="T13" i="86" s="1" a="1"/>
  <c r="T13" i="86" s="1"/>
  <c r="J19" i="85"/>
  <c r="I2" i="85" s="1"/>
  <c r="T14" i="86" s="1" a="1"/>
  <c r="T14" i="86" s="1"/>
  <c r="K19" i="85"/>
  <c r="J2" i="85" s="1"/>
  <c r="T12" i="86" s="1" a="1"/>
  <c r="T12" i="86" s="1"/>
  <c r="L19" i="85"/>
  <c r="K2" i="85" s="1"/>
  <c r="T28" i="86" s="1" a="1"/>
  <c r="T28" i="86" s="1"/>
  <c r="M19" i="85"/>
  <c r="L2" i="85" s="1"/>
  <c r="T23" i="86" s="1" a="1"/>
  <c r="T23" i="86" s="1"/>
  <c r="N19" i="85"/>
  <c r="M2" i="85" s="1"/>
  <c r="T15" i="86" s="1" a="1"/>
  <c r="T15" i="86" s="1"/>
  <c r="O19" i="85"/>
  <c r="N2" i="85" s="1"/>
  <c r="T16" i="86" s="1" a="1"/>
  <c r="T16" i="86" s="1"/>
  <c r="P19" i="85"/>
  <c r="O2" i="85" s="1"/>
  <c r="T17" i="86" s="1" a="1"/>
  <c r="T17" i="86" s="1"/>
  <c r="Q19" i="85"/>
  <c r="P2" i="85" s="1"/>
  <c r="T18" i="86" s="1" a="1"/>
  <c r="T18" i="86" s="1"/>
  <c r="R19" i="85"/>
  <c r="Q2" i="85" s="1"/>
  <c r="T19" i="86" s="1" a="1"/>
  <c r="T19" i="86" s="1"/>
  <c r="S19" i="85"/>
  <c r="R2" i="85" s="1"/>
  <c r="T21" i="86" s="1" a="1"/>
  <c r="T21" i="86" s="1"/>
  <c r="T19" i="85"/>
  <c r="S2" i="85" s="1"/>
  <c r="T22" i="86" s="1" a="1"/>
  <c r="T22" i="86" s="1"/>
  <c r="U19" i="85"/>
  <c r="T2" i="85" s="1"/>
  <c r="T24" i="86" s="1" a="1"/>
  <c r="T24" i="86" s="1"/>
  <c r="V19" i="85"/>
  <c r="U2" i="85" s="1"/>
  <c r="T25" i="86" s="1" a="1"/>
  <c r="T25" i="86" s="1"/>
  <c r="W19" i="85"/>
  <c r="V2" i="85" s="1"/>
  <c r="T26" i="86" s="1" a="1"/>
  <c r="T26" i="86" s="1"/>
  <c r="X19" i="85"/>
  <c r="W2" i="85" s="1"/>
  <c r="T20" i="86" s="1" a="1"/>
  <c r="T20" i="86" s="1"/>
  <c r="Y19" i="85"/>
  <c r="X2" i="85" s="1"/>
  <c r="T27" i="86" s="1" a="1"/>
  <c r="T27" i="86" s="1"/>
  <c r="E19" i="85"/>
  <c r="D2" i="85" s="1"/>
  <c r="T9" i="86" s="1" a="1"/>
  <c r="T9" i="86" s="1"/>
  <c r="F31" i="79"/>
  <c r="F35" i="79"/>
  <c r="F45" i="79" s="1"/>
  <c r="F48" i="79" s="1"/>
  <c r="G31" i="79"/>
  <c r="G35" i="79"/>
  <c r="G45" i="79" s="1"/>
  <c r="G48" i="79" s="1"/>
  <c r="E31" i="79"/>
  <c r="E35" i="79"/>
  <c r="E45" i="79" s="1"/>
  <c r="E48" i="79" s="1"/>
  <c r="H18" i="62"/>
  <c r="F18" i="62"/>
  <c r="O43" i="87"/>
  <c r="P43" i="87" s="1"/>
  <c r="B4" i="85"/>
  <c r="B5" i="85"/>
  <c r="B6" i="85"/>
  <c r="B7" i="85"/>
  <c r="B8" i="85"/>
  <c r="B9" i="85"/>
  <c r="B10" i="85"/>
  <c r="B15" i="85"/>
  <c r="B16" i="85"/>
  <c r="B17" i="85"/>
  <c r="B18" i="85"/>
  <c r="GC2" i="16"/>
  <c r="B8" i="70"/>
  <c r="F27" i="9"/>
  <c r="Q68" i="9"/>
  <c r="P68" i="9"/>
  <c r="O68" i="9"/>
  <c r="N68" i="9"/>
  <c r="M68" i="9"/>
  <c r="L68" i="9"/>
  <c r="K68" i="9"/>
  <c r="J68" i="9"/>
  <c r="I68" i="9"/>
  <c r="H68" i="9"/>
  <c r="Q62" i="9"/>
  <c r="Q71" i="9" s="1"/>
  <c r="P62" i="9"/>
  <c r="P71" i="9" s="1"/>
  <c r="O62" i="9"/>
  <c r="O71" i="9" s="1"/>
  <c r="N62" i="9"/>
  <c r="N71" i="9" s="1"/>
  <c r="M62" i="9"/>
  <c r="M71" i="9" s="1"/>
  <c r="L62" i="9"/>
  <c r="L71" i="9" s="1"/>
  <c r="K62" i="9"/>
  <c r="K71" i="9" s="1"/>
  <c r="J62" i="9"/>
  <c r="J71" i="9" s="1"/>
  <c r="H62" i="9"/>
  <c r="H71" i="9" s="1"/>
  <c r="F61" i="9"/>
  <c r="Q55" i="9"/>
  <c r="P55" i="9"/>
  <c r="O55" i="9"/>
  <c r="N55" i="9"/>
  <c r="M55" i="9"/>
  <c r="L55" i="9"/>
  <c r="K55" i="9"/>
  <c r="J55" i="9"/>
  <c r="F54" i="9"/>
  <c r="E43" i="44" s="1"/>
  <c r="I43" i="44" s="1"/>
  <c r="F53" i="9"/>
  <c r="E42" i="44" s="1"/>
  <c r="I42" i="44" s="1"/>
  <c r="F50" i="9"/>
  <c r="E39" i="44" s="1"/>
  <c r="F49" i="9"/>
  <c r="E38" i="44" s="1"/>
  <c r="G38" i="44" s="1"/>
  <c r="F47" i="9"/>
  <c r="E36" i="44" s="1"/>
  <c r="G36" i="44" s="1"/>
  <c r="F42" i="9"/>
  <c r="E31" i="44" s="1"/>
  <c r="G31" i="44" s="1"/>
  <c r="F40" i="9"/>
  <c r="E29" i="44" s="1"/>
  <c r="F39" i="9"/>
  <c r="E28" i="44" s="1"/>
  <c r="F37" i="9"/>
  <c r="E26" i="44" s="1"/>
  <c r="Q34" i="9"/>
  <c r="P34" i="9"/>
  <c r="O34" i="9"/>
  <c r="N34" i="9"/>
  <c r="M34" i="9"/>
  <c r="L34" i="9"/>
  <c r="K34" i="9"/>
  <c r="J34" i="9"/>
  <c r="H34" i="9"/>
  <c r="Q29" i="9"/>
  <c r="P29" i="9"/>
  <c r="O29" i="9"/>
  <c r="N29" i="9"/>
  <c r="M29" i="9"/>
  <c r="L29" i="9"/>
  <c r="K29" i="9"/>
  <c r="J29" i="9"/>
  <c r="F28" i="9"/>
  <c r="E22" i="44" s="1"/>
  <c r="F25" i="9"/>
  <c r="E19" i="44" s="1"/>
  <c r="F24" i="9"/>
  <c r="E18" i="44" s="1"/>
  <c r="F22" i="9"/>
  <c r="E16" i="44" s="1"/>
  <c r="F20" i="9"/>
  <c r="F18" i="9"/>
  <c r="E12" i="44" s="1"/>
  <c r="G12" i="44" s="1"/>
  <c r="Q12" i="9"/>
  <c r="AK65" i="9" s="1"/>
  <c r="Q65" i="9" s="1"/>
  <c r="P12" i="9"/>
  <c r="AJ65" i="9" s="1"/>
  <c r="P65" i="9" s="1"/>
  <c r="O12" i="9"/>
  <c r="AI65" i="9" s="1"/>
  <c r="O65" i="9" s="1"/>
  <c r="N12" i="9"/>
  <c r="N69" i="9" s="1"/>
  <c r="M12" i="9"/>
  <c r="AG65" i="9" s="1"/>
  <c r="M65" i="9" s="1"/>
  <c r="L12" i="9"/>
  <c r="L69" i="9" s="1"/>
  <c r="K12" i="9"/>
  <c r="AE65" i="9" s="1"/>
  <c r="K65" i="9" s="1"/>
  <c r="J12" i="9"/>
  <c r="J69" i="9" s="1"/>
  <c r="F21" i="9"/>
  <c r="E15" i="44" s="1"/>
  <c r="F32" i="9"/>
  <c r="B8" i="71"/>
  <c r="I9" i="84"/>
  <c r="D15" i="84"/>
  <c r="I11" i="84"/>
  <c r="F11" i="84"/>
  <c r="F5" i="84"/>
  <c r="F6" i="84"/>
  <c r="B4" i="77"/>
  <c r="H4" i="83"/>
  <c r="J4" i="83" s="1"/>
  <c r="H8" i="83"/>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H30" i="44"/>
  <c r="H31" i="44"/>
  <c r="H32" i="44"/>
  <c r="H10" i="44"/>
  <c r="H11" i="44"/>
  <c r="I20" i="44"/>
  <c r="H21" i="44"/>
  <c r="H22" i="44"/>
  <c r="G20" i="44"/>
  <c r="B54" i="83"/>
  <c r="B48" i="83"/>
  <c r="AD1" i="82"/>
  <c r="AD3" i="82" s="1"/>
  <c r="B42" i="83"/>
  <c r="B36" i="83"/>
  <c r="B30" i="83"/>
  <c r="B24" i="83"/>
  <c r="B18" i="83"/>
  <c r="B12" i="83"/>
  <c r="AD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E4" i="82"/>
  <c r="AE2" i="82"/>
  <c r="AE1" i="82"/>
  <c r="B8" i="56"/>
  <c r="C43" i="44"/>
  <c r="C42" i="44"/>
  <c r="C29" i="44"/>
  <c r="C28" i="44"/>
  <c r="C22" i="44"/>
  <c r="C21" i="44"/>
  <c r="F45" i="9"/>
  <c r="E34" i="44" s="1"/>
  <c r="F44" i="9"/>
  <c r="E33" i="44" s="1"/>
  <c r="F48" i="9"/>
  <c r="E37" i="44" s="1"/>
  <c r="F46" i="9"/>
  <c r="E35" i="44" s="1"/>
  <c r="I35" i="44" s="1"/>
  <c r="F8" i="84"/>
  <c r="F33" i="9"/>
  <c r="I34" i="9"/>
  <c r="F59" i="9"/>
  <c r="I62" i="9"/>
  <c r="I71" i="9" s="1"/>
  <c r="F23" i="9"/>
  <c r="E17" i="44" s="1"/>
  <c r="I17" i="44" s="1"/>
  <c r="H69" i="9"/>
  <c r="F15" i="9"/>
  <c r="E9" i="44" s="1"/>
  <c r="G9" i="44" s="1"/>
  <c r="F51" i="9"/>
  <c r="E40" i="44" s="1"/>
  <c r="G40" i="44" s="1"/>
  <c r="F43" i="9"/>
  <c r="E32" i="44" s="1"/>
  <c r="G32" i="44" s="1"/>
  <c r="F17" i="9"/>
  <c r="E11" i="44" s="1"/>
  <c r="G11" i="44" s="1"/>
  <c r="F16" i="9"/>
  <c r="E10" i="44" s="1"/>
  <c r="F11" i="9"/>
  <c r="H29" i="9"/>
  <c r="H55" i="9"/>
  <c r="F19" i="9"/>
  <c r="E13" i="44" s="1"/>
  <c r="G13" i="44" s="1"/>
  <c r="I55" i="9"/>
  <c r="F41" i="9"/>
  <c r="E30" i="44" s="1"/>
  <c r="HF18" i="16" l="1"/>
  <c r="AF65" i="9"/>
  <c r="L65" i="9" s="1"/>
  <c r="HF29" i="16"/>
  <c r="HF11" i="16"/>
  <c r="HF22" i="16"/>
  <c r="HF17" i="16"/>
  <c r="AD65" i="9"/>
  <c r="J65" i="9" s="1"/>
  <c r="J70" i="9" s="1"/>
  <c r="J72" i="9" s="1"/>
  <c r="HF14" i="16"/>
  <c r="HF25" i="16"/>
  <c r="HF26" i="16"/>
  <c r="HF28" i="16"/>
  <c r="HF19" i="16"/>
  <c r="HF30" i="16"/>
  <c r="HF10" i="16"/>
  <c r="HF21" i="16"/>
  <c r="HF12" i="16"/>
  <c r="HF31" i="16"/>
  <c r="HF23" i="16"/>
  <c r="HF7" i="16"/>
  <c r="HF15" i="16"/>
  <c r="HF34" i="16"/>
  <c r="Q69" i="9"/>
  <c r="HF8" i="16"/>
  <c r="G12" i="62"/>
  <c r="K12" i="62" s="1"/>
  <c r="HF32" i="16"/>
  <c r="F10" i="62"/>
  <c r="HF33" i="16"/>
  <c r="I27" i="44"/>
  <c r="G43" i="44"/>
  <c r="HF13" i="16"/>
  <c r="HF24" i="16"/>
  <c r="I41" i="44"/>
  <c r="E10" i="62"/>
  <c r="J10" i="62"/>
  <c r="F12" i="62"/>
  <c r="E8" i="9"/>
  <c r="E68" i="9" s="1"/>
  <c r="J12" i="62"/>
  <c r="L10" i="62"/>
  <c r="E12" i="62"/>
  <c r="M12" i="62"/>
  <c r="L12" i="62"/>
  <c r="J6" i="83"/>
  <c r="J8" i="83" s="1"/>
  <c r="I10" i="44"/>
  <c r="G16" i="83"/>
  <c r="G18" i="84" s="1"/>
  <c r="F8" i="62"/>
  <c r="I40" i="83"/>
  <c r="I14" i="83"/>
  <c r="J17" i="84" s="1"/>
  <c r="I39" i="44"/>
  <c r="G39" i="44"/>
  <c r="I44" i="83"/>
  <c r="G28" i="44"/>
  <c r="I28" i="44"/>
  <c r="G15" i="44"/>
  <c r="I15" i="44"/>
  <c r="M70" i="9"/>
  <c r="Q70" i="9"/>
  <c r="AH65" i="9"/>
  <c r="N65" i="9" s="1"/>
  <c r="N70" i="9" s="1"/>
  <c r="N72" i="9" s="1"/>
  <c r="I36" i="83"/>
  <c r="O69" i="9"/>
  <c r="S12" i="9"/>
  <c r="I11" i="44"/>
  <c r="I22" i="83"/>
  <c r="AB65" i="9"/>
  <c r="H65" i="9" s="1"/>
  <c r="H70" i="9" s="1"/>
  <c r="H72" i="9" s="1"/>
  <c r="F62" i="9"/>
  <c r="C29" i="82" s="1"/>
  <c r="E36" i="83" s="1"/>
  <c r="G37" i="44"/>
  <c r="I37" i="44"/>
  <c r="I33" i="44"/>
  <c r="G33" i="44"/>
  <c r="I26" i="44"/>
  <c r="G26" i="44"/>
  <c r="E7" i="56"/>
  <c r="E5" i="56" s="1"/>
  <c r="M39" i="82" s="1"/>
  <c r="I32" i="44"/>
  <c r="F34" i="9"/>
  <c r="C27" i="82" s="1"/>
  <c r="E24" i="83" s="1"/>
  <c r="E74" i="82"/>
  <c r="M69" i="9"/>
  <c r="O70" i="9"/>
  <c r="P69" i="9"/>
  <c r="AD2" i="82"/>
  <c r="P70" i="9"/>
  <c r="I38" i="83"/>
  <c r="E7" i="70"/>
  <c r="E5" i="70" s="1"/>
  <c r="K39" i="82" s="1"/>
  <c r="F7" i="74"/>
  <c r="F5" i="74" s="1"/>
  <c r="M14" i="62" s="1"/>
  <c r="F55" i="9"/>
  <c r="K70" i="9"/>
  <c r="E7" i="71"/>
  <c r="E5" i="71" s="1"/>
  <c r="H39" i="82" s="1"/>
  <c r="L70" i="9"/>
  <c r="L72" i="9" s="1"/>
  <c r="F65" i="9"/>
  <c r="C30" i="82" s="1"/>
  <c r="E42" i="83" s="1"/>
  <c r="I29" i="9"/>
  <c r="F29" i="9" s="1"/>
  <c r="I9" i="44"/>
  <c r="I20" i="83"/>
  <c r="F30" i="83"/>
  <c r="F42" i="83"/>
  <c r="F48" i="83"/>
  <c r="L12" i="83"/>
  <c r="F36" i="83"/>
  <c r="F54" i="83"/>
  <c r="F18" i="83"/>
  <c r="G12" i="83"/>
  <c r="E16" i="84"/>
  <c r="F24" i="83"/>
  <c r="I30" i="44"/>
  <c r="G30" i="44"/>
  <c r="G22" i="44"/>
  <c r="I22" i="44"/>
  <c r="G29" i="44"/>
  <c r="I29" i="44"/>
  <c r="I16" i="44"/>
  <c r="G16" i="44"/>
  <c r="I19" i="44"/>
  <c r="G19" i="44"/>
  <c r="I34" i="44"/>
  <c r="G34" i="44"/>
  <c r="K10" i="62"/>
  <c r="T36" i="87" s="1"/>
  <c r="E21" i="44"/>
  <c r="I18" i="44"/>
  <c r="G18" i="44"/>
  <c r="T29" i="86"/>
  <c r="G17" i="44"/>
  <c r="I36" i="44"/>
  <c r="E14" i="44"/>
  <c r="M10" i="62"/>
  <c r="K69" i="9"/>
  <c r="F12" i="9"/>
  <c r="I10" i="62"/>
  <c r="I40" i="44"/>
  <c r="I38" i="44"/>
  <c r="I12" i="44"/>
  <c r="I69" i="9"/>
  <c r="D24" i="82"/>
  <c r="G10" i="44"/>
  <c r="G42" i="44"/>
  <c r="I31" i="44"/>
  <c r="I13" i="44"/>
  <c r="G35" i="44"/>
  <c r="AC65" i="9"/>
  <c r="I65" i="9" s="1"/>
  <c r="G36" i="83" a="1"/>
  <c r="G36" i="83" l="1"/>
  <c r="I70" i="9"/>
  <c r="Q72" i="9"/>
  <c r="H8" i="62"/>
  <c r="H10" i="62"/>
  <c r="H12" i="62"/>
  <c r="I26" i="83"/>
  <c r="F21" i="84"/>
  <c r="G21" i="84" s="1"/>
  <c r="O72" i="9"/>
  <c r="S55" i="9"/>
  <c r="I58" i="83"/>
  <c r="P72" i="9"/>
  <c r="M72" i="9"/>
  <c r="S29" i="9"/>
  <c r="I34" i="83"/>
  <c r="K72" i="9"/>
  <c r="I28" i="83"/>
  <c r="C26" i="82"/>
  <c r="E18" i="83" s="1"/>
  <c r="I52" i="83"/>
  <c r="I32" i="83"/>
  <c r="I56" i="83"/>
  <c r="I50" i="83"/>
  <c r="C28" i="82"/>
  <c r="E30" i="83" s="1"/>
  <c r="G44" i="44"/>
  <c r="I44" i="44"/>
  <c r="I21" i="44"/>
  <c r="G21" i="44"/>
  <c r="I22" i="84"/>
  <c r="F70" i="9"/>
  <c r="S70" i="9" s="1"/>
  <c r="F68" i="9"/>
  <c r="F69" i="9"/>
  <c r="F71" i="9"/>
  <c r="C25" i="82"/>
  <c r="S65" i="9"/>
  <c r="O36" i="87"/>
  <c r="O38" i="87" s="1"/>
  <c r="T38" i="87"/>
  <c r="G24" i="83"/>
  <c r="L24" i="83"/>
  <c r="I72" i="9"/>
  <c r="F72" i="9" s="1"/>
  <c r="S72" i="9" s="1"/>
  <c r="F14" i="83"/>
  <c r="H12" i="83"/>
  <c r="G16" i="84"/>
  <c r="L18" i="83"/>
  <c r="G18" i="83"/>
  <c r="G54" i="83"/>
  <c r="L54" i="83"/>
  <c r="L36" i="83"/>
  <c r="G48" i="83"/>
  <c r="L48" i="83"/>
  <c r="G42" i="83"/>
  <c r="L42" i="83"/>
  <c r="I14" i="44"/>
  <c r="G14" i="44"/>
  <c r="S34" i="9"/>
  <c r="I18" i="83"/>
  <c r="I54" i="83"/>
  <c r="I48" i="83"/>
  <c r="I30" i="83"/>
  <c r="I24" i="83"/>
  <c r="I12" i="83"/>
  <c r="J16" i="84" s="1"/>
  <c r="I42" i="83"/>
  <c r="I16" i="83"/>
  <c r="J18" i="84" s="1"/>
  <c r="I46" i="83"/>
  <c r="L30" i="83"/>
  <c r="G30" i="83"/>
  <c r="F20" i="84" l="1"/>
  <c r="G23" i="44"/>
  <c r="G48" i="44" s="1"/>
  <c r="C34" i="82" s="1"/>
  <c r="F13" i="84" s="1"/>
  <c r="I23" i="44"/>
  <c r="E12" i="83"/>
  <c r="J12" i="83" s="1"/>
  <c r="C31" i="82"/>
  <c r="F23" i="84" s="1"/>
  <c r="G23" i="84" s="1"/>
  <c r="H48" i="83"/>
  <c r="F50" i="83"/>
  <c r="H30" i="83"/>
  <c r="J30" i="83" s="1"/>
  <c r="E32" i="83" s="1"/>
  <c r="F32" i="83"/>
  <c r="F56" i="83"/>
  <c r="H54" i="83"/>
  <c r="H36" i="83"/>
  <c r="J36" i="83" s="1"/>
  <c r="E38" i="83" s="1"/>
  <c r="F38" i="83"/>
  <c r="I48" i="44"/>
  <c r="C36" i="82" s="1"/>
  <c r="H42" i="83"/>
  <c r="J42" i="83" s="1"/>
  <c r="E44" i="83" s="1"/>
  <c r="F44" i="83"/>
  <c r="F20" i="83"/>
  <c r="H18" i="83"/>
  <c r="J18" i="83" s="1"/>
  <c r="E20" i="83" s="1"/>
  <c r="E17" i="84"/>
  <c r="G14" i="83"/>
  <c r="L14" i="83"/>
  <c r="F26" i="83"/>
  <c r="H24" i="83"/>
  <c r="J24" i="83" s="1"/>
  <c r="E26" i="83" s="1"/>
  <c r="E48" i="83" l="1"/>
  <c r="J48" i="83" s="1"/>
  <c r="E50" i="83" s="1"/>
  <c r="L44" i="83"/>
  <c r="G44" i="83"/>
  <c r="L56" i="83"/>
  <c r="G56" i="83"/>
  <c r="H16" i="84"/>
  <c r="E14" i="83"/>
  <c r="C35" i="82"/>
  <c r="E54" i="83"/>
  <c r="J54" i="83" s="1"/>
  <c r="E56" i="83" s="1"/>
  <c r="G38" i="83"/>
  <c r="L38" i="83"/>
  <c r="L32" i="83"/>
  <c r="G32" i="83"/>
  <c r="G50" i="83"/>
  <c r="L50" i="83"/>
  <c r="G26" i="83"/>
  <c r="L26" i="83"/>
  <c r="G17" i="84"/>
  <c r="H14" i="83"/>
  <c r="F16" i="83"/>
  <c r="L20" i="83"/>
  <c r="G20" i="83"/>
  <c r="J14" i="83" l="1"/>
  <c r="H17" i="84" s="1"/>
  <c r="F52" i="83"/>
  <c r="H50" i="83"/>
  <c r="J50" i="83" s="1"/>
  <c r="E52" i="83" s="1"/>
  <c r="F28" i="83"/>
  <c r="H26" i="83"/>
  <c r="J26" i="83" s="1"/>
  <c r="E28" i="83" s="1"/>
  <c r="F34" i="83"/>
  <c r="H32" i="83"/>
  <c r="J32" i="83" s="1"/>
  <c r="E34" i="83" s="1"/>
  <c r="H38" i="83"/>
  <c r="J38" i="83" s="1"/>
  <c r="E40" i="83" s="1"/>
  <c r="F40" i="83"/>
  <c r="H56" i="83"/>
  <c r="J56" i="83" s="1"/>
  <c r="E58" i="83" s="1"/>
  <c r="F58" i="83"/>
  <c r="H20" i="83"/>
  <c r="J20" i="83" s="1"/>
  <c r="E22" i="83" s="1"/>
  <c r="F22" i="83"/>
  <c r="F46" i="83"/>
  <c r="H44" i="83"/>
  <c r="J44" i="83" s="1"/>
  <c r="E46" i="83" s="1"/>
  <c r="E18" i="84"/>
  <c r="L16" i="83"/>
  <c r="H16" i="83"/>
  <c r="E16" i="83" l="1"/>
  <c r="J16" i="83" s="1"/>
  <c r="L46" i="83"/>
  <c r="H46" i="83"/>
  <c r="J46" i="83" s="1"/>
  <c r="L58" i="83"/>
  <c r="H58" i="83"/>
  <c r="J58" i="83" s="1"/>
  <c r="L40" i="83"/>
  <c r="H40" i="83"/>
  <c r="J40" i="83" s="1"/>
  <c r="L34" i="83"/>
  <c r="H34" i="83"/>
  <c r="J34" i="83" s="1"/>
  <c r="L22" i="83"/>
  <c r="H22" i="83"/>
  <c r="J22" i="83" s="1"/>
  <c r="L28" i="83"/>
  <c r="H28" i="83"/>
  <c r="J28" i="83" s="1"/>
  <c r="L52" i="83"/>
  <c r="H52" i="83"/>
  <c r="J52" i="83" s="1"/>
  <c r="M50" i="83" l="1"/>
  <c r="D34" i="82"/>
  <c r="D28" i="82"/>
  <c r="M32" i="83"/>
  <c r="M26" i="83"/>
  <c r="D27" i="82"/>
  <c r="D26" i="82"/>
  <c r="M20" i="83"/>
  <c r="D29" i="82"/>
  <c r="I21" i="84" s="1"/>
  <c r="M38" i="83"/>
  <c r="M56" i="83"/>
  <c r="D36" i="82"/>
  <c r="H18" i="84"/>
  <c r="M14" i="83"/>
  <c r="E11" i="9" s="1"/>
  <c r="E12" i="9" s="1"/>
  <c r="E69" i="9" s="1"/>
  <c r="D25" i="82"/>
  <c r="D30" i="82"/>
  <c r="M44" i="83"/>
  <c r="E65" i="9" s="1"/>
  <c r="I20" i="84" l="1"/>
  <c r="H20" i="84" s="1"/>
  <c r="E22" i="9"/>
  <c r="E26" i="9"/>
  <c r="E24" i="9"/>
  <c r="E28" i="9"/>
  <c r="E16" i="9"/>
  <c r="E15" i="9"/>
  <c r="E23" i="9"/>
  <c r="E20" i="9"/>
  <c r="E19" i="9"/>
  <c r="E17" i="9"/>
  <c r="E21" i="9"/>
  <c r="E25" i="9"/>
  <c r="E18" i="9"/>
  <c r="E27" i="9"/>
  <c r="E32" i="9"/>
  <c r="E34" i="9" s="1"/>
  <c r="E33" i="9"/>
  <c r="I19" i="84"/>
  <c r="D31" i="82"/>
  <c r="I23" i="84" s="1"/>
  <c r="E61" i="9"/>
  <c r="E59" i="9"/>
  <c r="E62" i="9" s="1"/>
  <c r="E71" i="9" s="1"/>
  <c r="I13" i="84"/>
  <c r="H13" i="84" s="1"/>
  <c r="D35" i="82"/>
  <c r="J21" i="84"/>
  <c r="H21" i="84"/>
  <c r="E39" i="9"/>
  <c r="E47" i="9"/>
  <c r="E54" i="9"/>
  <c r="E38" i="9"/>
  <c r="E52" i="9"/>
  <c r="E37" i="9"/>
  <c r="E55" i="9" s="1"/>
  <c r="E44" i="9"/>
  <c r="E53" i="9"/>
  <c r="E41" i="9"/>
  <c r="E49" i="9"/>
  <c r="E48" i="9"/>
  <c r="E46" i="9"/>
  <c r="E43" i="9"/>
  <c r="E40" i="9"/>
  <c r="E50" i="9"/>
  <c r="E51" i="9"/>
  <c r="E42" i="9"/>
  <c r="E45" i="9"/>
  <c r="E29" i="9" l="1"/>
  <c r="J19" i="84"/>
  <c r="J23" i="84"/>
  <c r="H23" i="84"/>
  <c r="J20" i="84"/>
  <c r="E70" i="9"/>
  <c r="E72" i="9" s="1"/>
  <c r="D8" i="86" l="1" a="1"/>
  <c r="C11" i="86" l="1" a="1"/>
  <c r="C11" i="86" s="1"/>
  <c r="C71" i="86" a="1"/>
  <c r="C71" i="86" s="1"/>
  <c r="C67" i="86" a="1"/>
  <c r="C67" i="86" s="1"/>
  <c r="C75" i="86" a="1"/>
  <c r="C75" i="86" s="1"/>
  <c r="C78" i="86" a="1"/>
  <c r="C78" i="86" s="1"/>
  <c r="C77" i="86" a="1"/>
  <c r="C77" i="86" s="1"/>
  <c r="C79" i="86" a="1"/>
  <c r="C79" i="86" s="1"/>
  <c r="C72" i="86" a="1"/>
  <c r="C72" i="86" s="1"/>
  <c r="C68" i="86" a="1"/>
  <c r="C68" i="86" s="1"/>
  <c r="C76" i="86" a="1"/>
  <c r="C76" i="86" s="1"/>
  <c r="C73" i="86" a="1"/>
  <c r="C73" i="86" s="1"/>
  <c r="C70" i="86" a="1"/>
  <c r="C70" i="86" s="1"/>
  <c r="C69" i="86" a="1"/>
  <c r="C69" i="86" s="1"/>
  <c r="C74" i="86" a="1"/>
  <c r="C74" i="86" s="1"/>
  <c r="D8" i="86"/>
  <c r="H22" i="79"/>
  <c r="J8" i="62" s="1"/>
  <c r="K8" i="62" s="1"/>
  <c r="L8" i="62" s="1"/>
  <c r="H21" i="98"/>
  <c r="H21" i="79"/>
  <c r="E8" i="62" s="1"/>
  <c r="H21" i="99"/>
  <c r="H22" i="99"/>
  <c r="H22" i="98"/>
  <c r="H35" i="79"/>
  <c r="C63" i="86" a="1"/>
  <c r="C63" i="86" s="1"/>
  <c r="C31" i="86" a="1"/>
  <c r="C31" i="86" s="1"/>
  <c r="C8" i="86" a="1"/>
  <c r="C8" i="86" s="1"/>
  <c r="C10" i="86" a="1"/>
  <c r="C10" i="86" s="1"/>
  <c r="C19" i="86" a="1"/>
  <c r="C19" i="86" s="1"/>
  <c r="C40" i="86" a="1"/>
  <c r="C40" i="86" s="1"/>
  <c r="C17" i="86" a="1"/>
  <c r="C17" i="86" s="1"/>
  <c r="H35" i="99"/>
  <c r="C44" i="86" a="1"/>
  <c r="C44" i="86" s="1"/>
  <c r="C21" i="86" a="1"/>
  <c r="C21" i="86" s="1"/>
  <c r="C50" i="86" a="1"/>
  <c r="C50" i="86" s="1"/>
  <c r="C26" i="86" a="1"/>
  <c r="C26" i="86" s="1"/>
  <c r="C41" i="86" a="1"/>
  <c r="C41" i="86" s="1"/>
  <c r="C54" i="86" a="1"/>
  <c r="C54" i="86" s="1"/>
  <c r="H35" i="98"/>
  <c r="C20" i="86" a="1"/>
  <c r="C20" i="86" s="1"/>
  <c r="C23" i="86" a="1"/>
  <c r="C23" i="86" s="1"/>
  <c r="C25" i="86" a="1"/>
  <c r="C25" i="86" s="1"/>
  <c r="C53" i="86" a="1"/>
  <c r="C53" i="86" s="1"/>
  <c r="C45" i="86" a="1"/>
  <c r="C45" i="86" s="1"/>
  <c r="C37" i="86" a="1"/>
  <c r="C37" i="86" s="1"/>
  <c r="C49" i="86" a="1"/>
  <c r="C49" i="86" s="1"/>
  <c r="C24" i="86" a="1"/>
  <c r="C24" i="86" s="1"/>
  <c r="C13" i="86" a="1"/>
  <c r="C13" i="86" s="1"/>
  <c r="C43" i="86" a="1"/>
  <c r="C43" i="86" s="1"/>
  <c r="C16" i="86" a="1"/>
  <c r="C16" i="86" s="1"/>
  <c r="C52" i="86" a="1"/>
  <c r="C52" i="86" s="1"/>
  <c r="C35" i="86" a="1"/>
  <c r="C35" i="86" s="1"/>
  <c r="C18" i="86" a="1"/>
  <c r="C18" i="86" s="1"/>
  <c r="C27" i="86" a="1"/>
  <c r="C27" i="86" s="1"/>
  <c r="C38" i="86" a="1"/>
  <c r="C38" i="86" s="1"/>
  <c r="C28" i="86" a="1"/>
  <c r="C28" i="86" s="1"/>
  <c r="C48" i="86" a="1"/>
  <c r="C48" i="86" s="1"/>
  <c r="C39" i="86" a="1"/>
  <c r="C39" i="86" s="1"/>
  <c r="C62" i="86" a="1"/>
  <c r="C62" i="86" s="1"/>
  <c r="C55" i="86" a="1"/>
  <c r="C55" i="86" s="1"/>
  <c r="C59" i="86" a="1"/>
  <c r="C59" i="86" s="1"/>
  <c r="C32" i="86" a="1"/>
  <c r="C32" i="86" s="1"/>
  <c r="C60" i="86" a="1"/>
  <c r="C60" i="86" s="1"/>
  <c r="C30" i="86" a="1"/>
  <c r="C30" i="86" s="1"/>
  <c r="C58" i="86" a="1"/>
  <c r="C58" i="86" s="1"/>
  <c r="C47" i="86" a="1"/>
  <c r="C47" i="86" s="1"/>
  <c r="C12" i="86" a="1"/>
  <c r="C12" i="86" s="1"/>
  <c r="C57" i="86" a="1"/>
  <c r="C57" i="86" s="1"/>
  <c r="C51" i="86" a="1"/>
  <c r="C51" i="86" s="1"/>
  <c r="C14" i="86" a="1"/>
  <c r="C14" i="86" s="1"/>
  <c r="C15" i="86" a="1"/>
  <c r="C15" i="86" s="1"/>
  <c r="C42" i="86" a="1"/>
  <c r="C42" i="86" s="1"/>
  <c r="C29" i="86" a="1"/>
  <c r="C29" i="86" s="1"/>
  <c r="C46" i="86" a="1"/>
  <c r="C46" i="86" s="1"/>
  <c r="C33" i="86" a="1"/>
  <c r="C33" i="86" s="1"/>
  <c r="C61" i="86" a="1"/>
  <c r="C61" i="86" s="1"/>
  <c r="C22" i="86" a="1"/>
  <c r="C22" i="86" s="1"/>
  <c r="C9" i="86" a="1"/>
  <c r="C9" i="86" s="1"/>
  <c r="C64" i="86" a="1"/>
  <c r="C64" i="86" s="1"/>
  <c r="C65" i="86" a="1"/>
  <c r="C65" i="86" s="1"/>
  <c r="C66" i="86" a="1"/>
  <c r="C66" i="86" s="1"/>
  <c r="C34" i="86" a="1"/>
  <c r="C34" i="86" s="1"/>
  <c r="C36" i="86" a="1"/>
  <c r="C36" i="86" s="1"/>
  <c r="C56" i="86" a="1"/>
  <c r="C56" i="86" s="1"/>
  <c r="H45" i="79" l="1"/>
  <c r="H48" i="79" s="1"/>
  <c r="E49" i="79" a="1"/>
  <c r="E49" i="79" s="1"/>
  <c r="I8" i="62" s="1"/>
  <c r="M8" i="62" s="1"/>
  <c r="M16" i="62" s="1"/>
  <c r="H45" i="99"/>
  <c r="H48" i="99" s="1"/>
  <c r="E49" i="99" a="1"/>
  <c r="E49" i="99" s="1"/>
  <c r="E49" i="98" a="1"/>
  <c r="E49" i="98" s="1"/>
  <c r="H45" i="98"/>
  <c r="H48" i="98" s="1"/>
  <c r="F14" i="84" l="1"/>
  <c r="I18" i="62"/>
  <c r="M18" i="62" s="1"/>
  <c r="F15" i="84" s="1"/>
  <c r="G20" i="84" l="1"/>
  <c r="G15" i="84"/>
  <c r="M20" i="62"/>
  <c r="G14" i="84"/>
  <c r="F19" i="84"/>
  <c r="G19" i="84" l="1"/>
  <c r="H19"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D1" authorId="0" shapeId="0" xr:uid="{00000000-0006-0000-0200-000001000000}">
      <text>
        <r>
          <rPr>
            <b/>
            <sz val="9"/>
            <color indexed="81"/>
            <rFont val="Tahoma"/>
            <family val="2"/>
          </rPr>
          <t>Do not delete.  This number is used for the escalation calculation.</t>
        </r>
      </text>
    </comment>
    <comment ref="AD2" authorId="0" shapeId="0" xr:uid="{00000000-0006-0000-0200-000002000000}">
      <text>
        <r>
          <rPr>
            <b/>
            <sz val="9"/>
            <color indexed="81"/>
            <rFont val="Tahoma"/>
            <family val="2"/>
          </rPr>
          <t>Do not delete.  This number is used for the escalation calculation.</t>
        </r>
      </text>
    </comment>
    <comment ref="AD3" authorId="0" shapeId="0" xr:uid="{00000000-0006-0000-0200-000003000000}">
      <text>
        <r>
          <rPr>
            <b/>
            <sz val="9"/>
            <color indexed="81"/>
            <rFont val="Tahoma"/>
            <family val="2"/>
          </rPr>
          <t>Do not delete.  This number is used for the escalation calculation.</t>
        </r>
      </text>
    </comment>
    <comment ref="AD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9"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N87" authorId="0" shapeId="0" xr:uid="{0AA933BC-3B4E-4DF0-B947-DE8A7C6D6918}">
      <text>
        <r>
          <rPr>
            <b/>
            <sz val="14"/>
            <color indexed="81"/>
            <rFont val="Tahoma"/>
            <family val="2"/>
          </rPr>
          <t>This is based upon Marshall &amp; Swift plus 30%</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Semel, Ronald (DGS)</author>
  </authors>
  <commentList>
    <comment ref="B4" authorId="0" shapeId="0" xr:uid="{05FD187A-978E-40AE-A655-F148BC353C64}">
      <text>
        <r>
          <rPr>
            <b/>
            <sz val="8"/>
            <color indexed="81"/>
            <rFont val="Tahoma"/>
            <family val="2"/>
          </rPr>
          <t>First digit: Overall version.
Second group of digits: New if the changes effect the function of the CR-3
Third group of digits: Reflect aesthetic tweaks to the CR-3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<sst xmlns="http://schemas.openxmlformats.org/spreadsheetml/2006/main" count="5017" uniqueCount="1937">
  <si>
    <t>Index</t>
  </si>
  <si>
    <t>CR-1  Project Planner</t>
  </si>
  <si>
    <t>FY 2027</t>
  </si>
  <si>
    <t>Calendar Year 2026</t>
  </si>
  <si>
    <t>Instructions</t>
  </si>
  <si>
    <t>General Info</t>
  </si>
  <si>
    <t>Reference</t>
  </si>
  <si>
    <t>Databases</t>
  </si>
  <si>
    <t>Bldg Type 1</t>
  </si>
  <si>
    <t>Bldg Type 2</t>
  </si>
  <si>
    <t>Bldg Type 3</t>
  </si>
  <si>
    <t>Estimate</t>
  </si>
  <si>
    <t>Written</t>
  </si>
  <si>
    <t>Executive Summary</t>
  </si>
  <si>
    <t>HCI</t>
  </si>
  <si>
    <t>Database</t>
  </si>
  <si>
    <t>Program</t>
  </si>
  <si>
    <t>Flow Chart</t>
  </si>
  <si>
    <t>Overview</t>
  </si>
  <si>
    <t>Email capout</t>
  </si>
  <si>
    <t>Tradeline</t>
  </si>
  <si>
    <t>Attributes</t>
  </si>
  <si>
    <t>Narrative</t>
  </si>
  <si>
    <t>PB Help</t>
  </si>
  <si>
    <t>BITS Comp Request</t>
  </si>
  <si>
    <t>Comps</t>
  </si>
  <si>
    <t>Budget</t>
  </si>
  <si>
    <t>eVA</t>
  </si>
  <si>
    <t>Blender</t>
  </si>
  <si>
    <t>Drawings</t>
  </si>
  <si>
    <t>Escalation Tool</t>
  </si>
  <si>
    <t>Planning</t>
  </si>
  <si>
    <t xml:space="preserve"> </t>
  </si>
  <si>
    <t>Agency:</t>
  </si>
  <si>
    <t>Project:</t>
  </si>
  <si>
    <t>Scope:</t>
  </si>
  <si>
    <t>Costs at Time of Estimate</t>
  </si>
  <si>
    <t>Escalation and Supply Chain Premium</t>
  </si>
  <si>
    <t>Costs at Mid-construction **</t>
  </si>
  <si>
    <t>Detailed Planning Costs:</t>
  </si>
  <si>
    <t xml:space="preserve">Construction Costs * </t>
  </si>
  <si>
    <t>Escalation from</t>
  </si>
  <si>
    <t>to</t>
  </si>
  <si>
    <t>Construction Sub-Total</t>
  </si>
  <si>
    <t>Soft Costs</t>
  </si>
  <si>
    <t>FF&amp;E:</t>
  </si>
  <si>
    <t>Acquisition:</t>
  </si>
  <si>
    <t>Total:</t>
  </si>
  <si>
    <t>&lt; Return to Index</t>
  </si>
  <si>
    <t>DGS-30-199</t>
  </si>
  <si>
    <t>CR-1</t>
  </si>
  <si>
    <t>(Rev. 6/4/2026)</t>
  </si>
  <si>
    <t>Start Plus 1 Year</t>
  </si>
  <si>
    <t>FY 2025 Project Planner</t>
  </si>
  <si>
    <t>Note</t>
  </si>
  <si>
    <t>OVERVIEW</t>
  </si>
  <si>
    <t>ACCESSIBILITY</t>
  </si>
  <si>
    <t>Project name</t>
  </si>
  <si>
    <t xml:space="preserve">ACQUISITION </t>
  </si>
  <si>
    <t>Agency</t>
  </si>
  <si>
    <t>AGRICULTURAL FACILITY</t>
  </si>
  <si>
    <t>Project Code</t>
  </si>
  <si>
    <t>AIRPORT / AVIATION FACILITY</t>
  </si>
  <si>
    <t>Project Type</t>
  </si>
  <si>
    <t>AMPHITHEATER</t>
  </si>
  <si>
    <t>Biennium</t>
  </si>
  <si>
    <t>AREA LIGHTING</t>
  </si>
  <si>
    <t>Budget Round</t>
  </si>
  <si>
    <t>ARENA / CONVOCATION CENTER</t>
  </si>
  <si>
    <t>Request Origin</t>
  </si>
  <si>
    <t>ARMORY</t>
  </si>
  <si>
    <t>Project Location</t>
  </si>
  <si>
    <t>ATHLETIC &amp; RECREATIONAL FACILITIES</t>
  </si>
  <si>
    <t>Facility/Campus</t>
  </si>
  <si>
    <t>AUDITORIUM / THEATER</t>
  </si>
  <si>
    <t>Source of Request</t>
  </si>
  <si>
    <t>BOILER</t>
  </si>
  <si>
    <t>Infrastructure Element</t>
  </si>
  <si>
    <t>BRIDGE, PEDESTRIAN</t>
  </si>
  <si>
    <t>Contains significant technology costs?</t>
  </si>
  <si>
    <t>BRIDGE, VEHICULAR</t>
  </si>
  <si>
    <t>Contains significant energy costs?</t>
  </si>
  <si>
    <t>BUS SHELTER</t>
  </si>
  <si>
    <t>Contact</t>
  </si>
  <si>
    <t>CAPITOL / CITY HALL</t>
  </si>
  <si>
    <t>Prevailing Wage Premium Allowance</t>
  </si>
  <si>
    <t>Applicable ►</t>
  </si>
  <si>
    <t>Capital Budget Request Amounts</t>
  </si>
  <si>
    <t>PROJECT BUDGET</t>
  </si>
  <si>
    <t>Amount (current date)</t>
  </si>
  <si>
    <t>Amount (mid-construction)</t>
  </si>
  <si>
    <t>Comments</t>
  </si>
  <si>
    <t>CEMETERY / MAUSOLEUM</t>
  </si>
  <si>
    <t>Acquisition</t>
  </si>
  <si>
    <t>CENTRAL HEATING / COOLING PLANT</t>
  </si>
  <si>
    <t>Construction</t>
  </si>
  <si>
    <t>CHILLER</t>
  </si>
  <si>
    <t>Design &amp; Related Services</t>
  </si>
  <si>
    <t>CLASSROOM</t>
  </si>
  <si>
    <t>Inspection &amp; Testing Services</t>
  </si>
  <si>
    <t>CLASSROOM / ASSEMBLY</t>
  </si>
  <si>
    <t>Project Management &amp; Other Costs</t>
  </si>
  <si>
    <t>CLASSROOM / K-12</t>
  </si>
  <si>
    <t>Furnishings &amp; Movable Equipment</t>
  </si>
  <si>
    <t>CLASSROOM / LABORATORY</t>
  </si>
  <si>
    <t>Construction Contingency</t>
  </si>
  <si>
    <t>CLASSROOM / MULTI-PURPOSE</t>
  </si>
  <si>
    <t>TOTAL PROJECT BUDGET</t>
  </si>
  <si>
    <t>CLASSROOM / OFFICE</t>
  </si>
  <si>
    <t>CLASSROOM / STUDIO</t>
  </si>
  <si>
    <t>PLANNING PHASES</t>
  </si>
  <si>
    <t>Amount</t>
  </si>
  <si>
    <t>CLASSROOM / TRAINING CENTER</t>
  </si>
  <si>
    <t>3, 5, 6</t>
  </si>
  <si>
    <t>Detailed Planning Phase</t>
  </si>
  <si>
    <t>CM SERVICES</t>
  </si>
  <si>
    <t>Additional Planning to Bid Phase</t>
  </si>
  <si>
    <t>COMMUNITY CENTER</t>
  </si>
  <si>
    <t>Total Planning to Bid Phase</t>
  </si>
  <si>
    <t>CONVENTION / EXHIBITION CENTER</t>
  </si>
  <si>
    <t>COURTHOUSE</t>
  </si>
  <si>
    <t>SCOPE</t>
  </si>
  <si>
    <t>DAM</t>
  </si>
  <si>
    <t>Total square foot (per form DGS-30-219)</t>
  </si>
  <si>
    <t>Program 1:</t>
  </si>
  <si>
    <t>Program 2:</t>
  </si>
  <si>
    <t>Program 3:</t>
  </si>
  <si>
    <t>DATA / TELECOMMUNICATIONS</t>
  </si>
  <si>
    <t>Net # of New Parking Spaces - Surface Lot</t>
  </si>
  <si>
    <t>DEMOLITION</t>
  </si>
  <si>
    <t>Net # of New Parking Spaces - Parking Deck</t>
  </si>
  <si>
    <t>DINING / FOOD SERVICE</t>
  </si>
  <si>
    <t>Site Size (acres)</t>
  </si>
  <si>
    <t>DOORS</t>
  </si>
  <si>
    <t>Table 1 : Impact of Inflation,Tariffs &amp; Wages on Project Phases</t>
  </si>
  <si>
    <t>Table 2: Total Escalation Calculation</t>
  </si>
  <si>
    <t>TOTAL ESCALATION</t>
  </si>
  <si>
    <t>DORMITORY</t>
  </si>
  <si>
    <t>SCHEDULE</t>
  </si>
  <si>
    <t>Dates</t>
  </si>
  <si>
    <t>Activity</t>
  </si>
  <si>
    <t>Inflation</t>
  </si>
  <si>
    <t>Tariff</t>
  </si>
  <si>
    <t>Wage</t>
  </si>
  <si>
    <t>Geo-Political Spike</t>
  </si>
  <si>
    <t>Impact Year</t>
  </si>
  <si>
    <t>Design;
 Inspection &amp; Testing; 
Project Management &amp; Other</t>
  </si>
  <si>
    <t>Construction;
Construction Contingency</t>
  </si>
  <si>
    <t>DORMITORY / DINING</t>
  </si>
  <si>
    <t>Start of design</t>
  </si>
  <si>
    <t>A</t>
  </si>
  <si>
    <t>B</t>
  </si>
  <si>
    <t>C</t>
  </si>
  <si>
    <t>D</t>
  </si>
  <si>
    <t>E</t>
  </si>
  <si>
    <r>
      <t xml:space="preserve">F1 (= </t>
    </r>
    <r>
      <rPr>
        <b/>
        <sz val="12"/>
        <color rgb="FFA02B93"/>
        <rFont val="Aptos"/>
        <family val="2"/>
      </rPr>
      <t>B + D</t>
    </r>
    <r>
      <rPr>
        <b/>
        <sz val="12"/>
        <color rgb="FF000000"/>
        <rFont val="Aptos"/>
        <family val="2"/>
      </rPr>
      <t xml:space="preserve">) </t>
    </r>
  </si>
  <si>
    <r>
      <t xml:space="preserve">F2 (= </t>
    </r>
    <r>
      <rPr>
        <b/>
        <sz val="12"/>
        <color rgb="FFA02B93"/>
        <rFont val="Aptos"/>
        <family val="2"/>
      </rPr>
      <t>B + C + D + E</t>
    </r>
    <r>
      <rPr>
        <b/>
        <sz val="12"/>
        <color rgb="FF000000"/>
        <rFont val="Aptos"/>
        <family val="2"/>
      </rPr>
      <t>)</t>
    </r>
  </si>
  <si>
    <r>
      <t xml:space="preserve">F3 (= </t>
    </r>
    <r>
      <rPr>
        <b/>
        <sz val="12"/>
        <color rgb="FFA02B93"/>
        <rFont val="Aptos"/>
        <family val="2"/>
      </rPr>
      <t>B + C+E</t>
    </r>
    <r>
      <rPr>
        <b/>
        <sz val="12"/>
        <color rgb="FF000000"/>
        <rFont val="Aptos"/>
        <family val="2"/>
      </rPr>
      <t>)</t>
    </r>
  </si>
  <si>
    <t>ELECTRICAL</t>
  </si>
  <si>
    <t>Start of construction</t>
  </si>
  <si>
    <t>Yes</t>
  </si>
  <si>
    <t>per Table 1</t>
  </si>
  <si>
    <t>ELEVATOR</t>
  </si>
  <si>
    <t>Mid-Point of Construction</t>
  </si>
  <si>
    <t>EMERGENCY GENERATOR</t>
  </si>
  <si>
    <t>End of Construction</t>
  </si>
  <si>
    <t>ENERGY MANAGEMENT SYSTEM</t>
  </si>
  <si>
    <t>FLOORING</t>
  </si>
  <si>
    <t>ENVIRONMENTAL</t>
  </si>
  <si>
    <t>EQUIPMENT</t>
  </si>
  <si>
    <t>Baseline Date</t>
  </si>
  <si>
    <t>FENCING</t>
  </si>
  <si>
    <t>FIRE / POLICE STATION</t>
  </si>
  <si>
    <t>FIRE DETECTION &amp; ALARM</t>
  </si>
  <si>
    <t>The amount required for acquisition, shown in the blue highlighted cell, does not include inflation or supply chain premium.</t>
  </si>
  <si>
    <t>FIRE PROTECTION</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</si>
  <si>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</si>
  <si>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</si>
  <si>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FOUNDATION</t>
  </si>
  <si>
    <t>The amount required for FF&amp;E, shown in the blue highlighted cell, includes inflation and supply chain premium to the end of construction.</t>
  </si>
  <si>
    <t>FUEL FACILITY</t>
  </si>
  <si>
    <t>Planning amounts are part of the overall project total.</t>
  </si>
  <si>
    <t>GREENHOUSE</t>
  </si>
  <si>
    <t>List any unusual Detailed Planning requirements in comments.</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</si>
  <si>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</si>
  <si>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</si>
  <si>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</si>
  <si>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</si>
  <si>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</si>
  <si>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</si>
  <si>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</si>
  <si>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</si>
  <si>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</si>
  <si>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</si>
  <si>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</si>
  <si>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</si>
  <si>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</si>
  <si>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</si>
  <si>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</si>
  <si>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</si>
  <si>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</si>
  <si>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</si>
  <si>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</si>
  <si>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</si>
  <si>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</si>
  <si>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</si>
  <si>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</si>
  <si>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</si>
  <si>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</si>
  <si>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</si>
  <si>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</si>
  <si>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</si>
  <si>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</si>
  <si>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</si>
  <si>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</si>
  <si>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</si>
  <si>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</si>
  <si>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</si>
  <si>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</si>
  <si>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</si>
  <si>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</si>
  <si>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</si>
  <si>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</si>
  <si>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</si>
  <si>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</si>
  <si>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</si>
  <si>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</si>
  <si>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</si>
  <si>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</si>
  <si>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</si>
  <si>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</si>
  <si>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</si>
  <si>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</si>
  <si>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</si>
  <si>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</si>
  <si>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</si>
  <si>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</si>
  <si>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</si>
  <si>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</si>
  <si>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</si>
  <si>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</si>
  <si>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</si>
  <si>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</si>
  <si>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</si>
  <si>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</si>
  <si>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</si>
  <si>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</si>
  <si>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</si>
  <si>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</si>
  <si>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</si>
  <si>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</si>
  <si>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</si>
  <si>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</si>
  <si>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</si>
  <si>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</si>
  <si>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</si>
  <si>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</si>
  <si>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</si>
  <si>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</si>
  <si>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</si>
  <si>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</si>
  <si>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</si>
  <si>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</si>
  <si>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</si>
  <si>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</si>
  <si>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</si>
  <si>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</si>
  <si>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</si>
  <si>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</si>
  <si>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</si>
  <si>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</si>
  <si>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</si>
  <si>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</si>
  <si>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</si>
  <si>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</si>
  <si>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</si>
  <si>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</si>
  <si>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</si>
  <si>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</si>
  <si>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</si>
  <si>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</si>
  <si>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Biennial Bill</t>
  </si>
  <si>
    <t>Amended Bill</t>
  </si>
  <si>
    <t>Caboose Bill</t>
  </si>
  <si>
    <t>No</t>
  </si>
  <si>
    <t>Agency Narrative</t>
  </si>
  <si>
    <t>Agency Description</t>
  </si>
  <si>
    <t>Justification</t>
  </si>
  <si>
    <t>Alternatives Considered</t>
  </si>
  <si>
    <t>Costing Methodology</t>
  </si>
  <si>
    <t>Single Phase / Phase 1</t>
  </si>
  <si>
    <t>Phase 2</t>
  </si>
  <si>
    <t>Phase 3</t>
  </si>
  <si>
    <t>Phase 4</t>
  </si>
  <si>
    <t>Phase 5</t>
  </si>
  <si>
    <t>Phase 6</t>
  </si>
  <si>
    <t>Phase 7</t>
  </si>
  <si>
    <t>Phase 8</t>
  </si>
  <si>
    <t>Phase 9</t>
  </si>
  <si>
    <t>Phase 10</t>
  </si>
  <si>
    <t>Phase Title:</t>
  </si>
  <si>
    <t>Unit Price
(@ Current Date)</t>
  </si>
  <si>
    <t>Description</t>
  </si>
  <si>
    <t>Escalated 
Amounts</t>
  </si>
  <si>
    <t>Non-Escalated
Amounts</t>
  </si>
  <si>
    <t>Site Acquisition</t>
  </si>
  <si>
    <t>Site Acquisition Total</t>
  </si>
  <si>
    <t xml:space="preserve">Construction   </t>
  </si>
  <si>
    <t>Total From Blender</t>
  </si>
  <si>
    <t>Construction Total</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</si>
  <si>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</si>
  <si>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</si>
  <si>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</si>
  <si>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</si>
  <si>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</si>
  <si>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</si>
  <si>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</si>
  <si>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</si>
  <si>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</si>
  <si>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</si>
  <si>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</si>
  <si>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</si>
  <si>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 xml:space="preserve">Environmental Impact Report (EIR) </t>
  </si>
  <si>
    <t>Design &amp; Related Services Total</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</si>
  <si>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</si>
  <si>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</si>
  <si>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</si>
  <si>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</si>
  <si>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</si>
  <si>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</si>
  <si>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DGS Division of Real Estate services</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</si>
  <si>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</si>
  <si>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</si>
  <si>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</si>
  <si>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</si>
  <si>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</si>
  <si>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</si>
  <si>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</si>
  <si>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</si>
  <si>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</si>
  <si>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</si>
  <si>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</si>
  <si>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</si>
  <si>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</si>
  <si>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</si>
  <si>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</si>
  <si>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</si>
  <si>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Miscellaneous site acquisition soft costs</t>
  </si>
  <si>
    <t>Project Management &amp; Other Costs  Total</t>
  </si>
  <si>
    <t>Furnishings &amp; Movable Equipment (FF&amp;E)</t>
  </si>
  <si>
    <t>Furnishings</t>
  </si>
  <si>
    <t>Movable Equipment</t>
  </si>
  <si>
    <t>Furnishings &amp; Movable Equipment (FF&amp;E) Total</t>
  </si>
  <si>
    <t>Construction Contingency Total</t>
  </si>
  <si>
    <t>Totals</t>
  </si>
  <si>
    <t>Acquisition Costs</t>
  </si>
  <si>
    <t>Construction Costs</t>
  </si>
  <si>
    <t>Soft Costs (less FF&amp;E and Acquisition Costs)</t>
  </si>
  <si>
    <t>Total Costs</t>
  </si>
  <si>
    <t>Hidden Column</t>
  </si>
  <si>
    <t xml:space="preserve">($MM)
Construction Cost </t>
  </si>
  <si>
    <t xml:space="preserve">
FROM</t>
  </si>
  <si>
    <t xml:space="preserve">
TO</t>
  </si>
  <si>
    <t xml:space="preserve">
PW %</t>
  </si>
  <si>
    <t>BLENDER</t>
  </si>
  <si>
    <t>HIDDEN COLUMN</t>
  </si>
  <si>
    <t>Project Part</t>
  </si>
  <si>
    <t>Building Type</t>
  </si>
  <si>
    <t>Unit Type</t>
  </si>
  <si>
    <t>Quantity</t>
  </si>
  <si>
    <t>SF_CM Application</t>
  </si>
  <si>
    <t>%</t>
  </si>
  <si>
    <t>Unit Price</t>
  </si>
  <si>
    <t>Average Area from Comps Sheet</t>
  </si>
  <si>
    <t>Size Factor</t>
  </si>
  <si>
    <t>*Cost Multiplier</t>
  </si>
  <si>
    <t>Total</t>
  </si>
  <si>
    <t>80+</t>
  </si>
  <si>
    <t>Building Type 1</t>
  </si>
  <si>
    <t>Building Type 2</t>
  </si>
  <si>
    <t>Building Type 3</t>
  </si>
  <si>
    <t>Other Modifications</t>
  </si>
  <si>
    <t>-</t>
  </si>
  <si>
    <t>Sub-Total</t>
  </si>
  <si>
    <t xml:space="preserve">Grand Total   </t>
  </si>
  <si>
    <t>Cost Multiplier is a calculated coefficient multiplicable to unit price utilized for current estimation to account for size variation of the proposed project over the sizes of the projects that helped build-up the estimate unit price.</t>
  </si>
  <si>
    <t>PROGRAM</t>
  </si>
  <si>
    <t>GSF</t>
  </si>
  <si>
    <t>Efficiency</t>
  </si>
  <si>
    <t xml:space="preserve">Space Type </t>
  </si>
  <si>
    <t>Net Area (sf)</t>
  </si>
  <si>
    <t>New Construction</t>
  </si>
  <si>
    <t>Project Characteristics</t>
  </si>
  <si>
    <t>Renovation</t>
  </si>
  <si>
    <t>New / Ren.:</t>
  </si>
  <si>
    <t>Building Type:</t>
  </si>
  <si>
    <t>H-5</t>
  </si>
  <si>
    <t>A  Substructure</t>
  </si>
  <si>
    <t>Ren - L</t>
  </si>
  <si>
    <t>I-3</t>
  </si>
  <si>
    <t>Ren - M</t>
  </si>
  <si>
    <t>I-4</t>
  </si>
  <si>
    <t>Not Required</t>
  </si>
  <si>
    <t>Ren - H</t>
  </si>
  <si>
    <t>M</t>
  </si>
  <si>
    <t>Unknown</t>
  </si>
  <si>
    <t>R-2</t>
  </si>
  <si>
    <t>Spread Footings</t>
  </si>
  <si>
    <t>B  Shell</t>
  </si>
  <si>
    <t>R-3</t>
  </si>
  <si>
    <t>Piles</t>
  </si>
  <si>
    <t>R-4</t>
  </si>
  <si>
    <t>Piles &amp; Grd Beams</t>
  </si>
  <si>
    <t>S-1</t>
  </si>
  <si>
    <t>CIP Conc Ple Caps</t>
  </si>
  <si>
    <t>CMU</t>
  </si>
  <si>
    <t>C  Interiors</t>
  </si>
  <si>
    <t>Stone</t>
  </si>
  <si>
    <t>Brick</t>
  </si>
  <si>
    <t>Concrete</t>
  </si>
  <si>
    <t>Curtain Wall</t>
  </si>
  <si>
    <t>D  Services</t>
  </si>
  <si>
    <t>Other – See Comments</t>
  </si>
  <si>
    <t>Standard Grade</t>
  </si>
  <si>
    <t>E  Equipment &amp; Furnishings</t>
  </si>
  <si>
    <t>Custom Grade</t>
  </si>
  <si>
    <t>Built-In Furnishings</t>
  </si>
  <si>
    <t>Special Eq.</t>
  </si>
  <si>
    <t>Premium Grade</t>
  </si>
  <si>
    <t>F  Special Construction &amp; Demolition</t>
  </si>
  <si>
    <t>Lab Eq.</t>
  </si>
  <si>
    <t>Water</t>
  </si>
  <si>
    <t>Existing</t>
  </si>
  <si>
    <t>From Plant</t>
  </si>
  <si>
    <t>Soil Conditions</t>
  </si>
  <si>
    <t>Parking Deck</t>
  </si>
  <si>
    <t>Terminal &amp; Package Units</t>
  </si>
  <si>
    <t>Gas</t>
  </si>
  <si>
    <t>4-Pipe</t>
  </si>
  <si>
    <t>Stable</t>
  </si>
  <si>
    <t>VAV</t>
  </si>
  <si>
    <t>Other Distignuishing Features</t>
  </si>
  <si>
    <t>Chiller(s)</t>
  </si>
  <si>
    <t>Boiler(s)</t>
  </si>
  <si>
    <t>Heat Pumps</t>
  </si>
  <si>
    <t>PROPOSED PROJECT</t>
  </si>
  <si>
    <t>Proposed Project Type (This part)</t>
  </si>
  <si>
    <r>
      <t xml:space="preserve">Standard Building </t>
    </r>
    <r>
      <rPr>
        <b/>
        <sz val="10"/>
        <rFont val="Arial"/>
        <family val="2"/>
      </rPr>
      <t>Category</t>
    </r>
    <r>
      <rPr>
        <sz val="10"/>
        <rFont val="Arial"/>
        <family val="2"/>
      </rPr>
      <t xml:space="preserve"> from VBCCD</t>
    </r>
  </si>
  <si>
    <r>
      <t xml:space="preserve">Standard Building </t>
    </r>
    <r>
      <rPr>
        <b/>
        <sz val="10"/>
        <rFont val="Arial"/>
        <family val="2"/>
      </rPr>
      <t xml:space="preserve">Type </t>
    </r>
    <r>
      <rPr>
        <sz val="10"/>
        <rFont val="Arial"/>
        <family val="2"/>
      </rPr>
      <t xml:space="preserve"> from VBCCD</t>
    </r>
  </si>
  <si>
    <t>Building Category/ Type not in VBCCD</t>
  </si>
  <si>
    <t>Project location (city):</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</si>
  <si>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</si>
  <si>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</si>
  <si>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</si>
  <si>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</si>
  <si>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</si>
  <si>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</si>
  <si>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</si>
  <si>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</si>
  <si>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</si>
  <si>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</si>
  <si>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</si>
  <si>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</si>
  <si>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</si>
  <si>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◄Check This HCI Value</t>
  </si>
  <si>
    <t>d.</t>
  </si>
  <si>
    <t>Construction contract award year:</t>
  </si>
  <si>
    <t>COMPARABLE PROJECT SCOPE</t>
  </si>
  <si>
    <t>e1.</t>
  </si>
  <si>
    <t>Quantity Unit of Measurement</t>
  </si>
  <si>
    <t>e2.</t>
  </si>
  <si>
    <t>Gross quantity of the comp:</t>
  </si>
  <si>
    <t>e3.</t>
  </si>
  <si>
    <t>Gross quantity for this portion of the project :</t>
  </si>
  <si>
    <t>f.</t>
  </si>
  <si>
    <t>Key quantity (i.e.; # of beds, cells, spaces, etc.):</t>
  </si>
  <si>
    <t>g.</t>
  </si>
  <si>
    <t>Comments:</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</si>
  <si>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</si>
  <si>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</si>
  <si>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</si>
  <si>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</si>
  <si>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</si>
  <si>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</si>
  <si>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</si>
  <si>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</si>
  <si>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</si>
  <si>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</si>
  <si>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</si>
  <si>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</si>
  <si>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</si>
  <si>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</si>
  <si>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</si>
  <si>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</si>
  <si>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</si>
  <si>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</si>
  <si>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</si>
  <si>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</si>
  <si>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</si>
  <si>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</si>
  <si>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</si>
  <si>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</si>
  <si>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</si>
  <si>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</si>
  <si>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</si>
  <si>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</si>
  <si>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</si>
  <si>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</si>
  <si>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</si>
  <si>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LINK TO &gt;&gt; Square Foot Project Size Modiﬁer</t>
  </si>
  <si>
    <t>Project Type (ths part) - Quantity Unit</t>
  </si>
  <si>
    <t>Building Construction - Quantity Unit Square Feet</t>
  </si>
  <si>
    <t>Parking - Quantity Unit Square Feet</t>
  </si>
  <si>
    <t>Parking - Quantity Unit Spaces</t>
  </si>
  <si>
    <t>Others (like utility, site development etc.)</t>
  </si>
  <si>
    <t>Two Curves</t>
  </si>
  <si>
    <t>Three Curves</t>
  </si>
  <si>
    <t>Calculation Testing</t>
  </si>
  <si>
    <t>Cost Multiplier</t>
  </si>
  <si>
    <t>x</t>
  </si>
  <si>
    <t>y</t>
  </si>
  <si>
    <t>Size Factor range</t>
  </si>
  <si>
    <t>Slope</t>
  </si>
  <si>
    <t>Intercept</t>
  </si>
  <si>
    <t>Equation</t>
  </si>
  <si>
    <t>SF&lt;0.5</t>
  </si>
  <si>
    <t>&lt;0.5</t>
  </si>
  <si>
    <t>0.5&lt;=SF&lt;1</t>
  </si>
  <si>
    <t>=Intercept+Slope*SF</t>
  </si>
  <si>
    <t>1&lt;=SF&lt;3.5</t>
  </si>
  <si>
    <t>=1.0311-0.0389*SF</t>
  </si>
  <si>
    <t>=1.06-0.06*SF</t>
  </si>
  <si>
    <t>0.9933-0.067*SF</t>
  </si>
  <si>
    <t>1) Proposed Project Type</t>
  </si>
  <si>
    <r>
      <t xml:space="preserve">2) Standard Building </t>
    </r>
    <r>
      <rPr>
        <b/>
        <sz val="10"/>
        <rFont val="Arial"/>
        <family val="2"/>
      </rPr>
      <t>Category</t>
    </r>
    <r>
      <rPr>
        <sz val="10"/>
        <rFont val="Arial"/>
        <family val="2"/>
      </rPr>
      <t xml:space="preserve"> from VBCCD</t>
    </r>
  </si>
  <si>
    <r>
      <t xml:space="preserve">3) Standard Building </t>
    </r>
    <r>
      <rPr>
        <b/>
        <sz val="10"/>
        <rFont val="Arial"/>
        <family val="2"/>
      </rPr>
      <t xml:space="preserve">Type </t>
    </r>
    <r>
      <rPr>
        <sz val="10"/>
        <rFont val="Arial"/>
        <family val="2"/>
      </rPr>
      <t xml:space="preserve"> from VBCCD</t>
    </r>
  </si>
  <si>
    <t>Building Category/Type if not in VBCCD</t>
  </si>
  <si>
    <t>◄Verify HCI Value (see HCI tab)</t>
  </si>
  <si>
    <t>ESTIMATE</t>
  </si>
  <si>
    <t>Grand Total</t>
  </si>
  <si>
    <t>Markup</t>
  </si>
  <si>
    <t>Description / Location of Work</t>
  </si>
  <si>
    <t>Units</t>
  </si>
  <si>
    <t>Category</t>
  </si>
  <si>
    <t>Description of Duration</t>
  </si>
  <si>
    <t>Starting Amount</t>
  </si>
  <si>
    <t>Starting Date</t>
  </si>
  <si>
    <t>End Date</t>
  </si>
  <si>
    <t>Duration</t>
  </si>
  <si>
    <t>Rate</t>
  </si>
  <si>
    <t>End Amount</t>
  </si>
  <si>
    <t>Escalation Tool For Agency Use</t>
  </si>
  <si>
    <t>$
(Duration Start)</t>
  </si>
  <si>
    <t>Start</t>
  </si>
  <si>
    <t>End</t>
  </si>
  <si>
    <t>Duration (Years)</t>
  </si>
  <si>
    <t>Esc. %</t>
  </si>
  <si>
    <t>$
(Duration End)</t>
  </si>
  <si>
    <t>No Data Entry Beyond This Point</t>
  </si>
  <si>
    <t>Multiplier</t>
  </si>
  <si>
    <t>The amount required for soft costs, shown in the blue highlighted cell on the Overview tab, includes escalation to the start of construction.</t>
  </si>
  <si>
    <t>No. of days before the end of Construction that FF&amp;E is escalated to</t>
  </si>
  <si>
    <t>The amount required for FF&amp;E, shown in the blue highlighted cell on the Overview tab, includes escalation and supply chain premium to the end of construction.</t>
  </si>
  <si>
    <t>The amount requried for construction, shown in the blue highlighted cell on the Overview tab, includes escalation and supply chain premium to the mid-point of construction.</t>
  </si>
  <si>
    <t>Virginia Building Construction Cost Database</t>
  </si>
  <si>
    <t>#</t>
  </si>
  <si>
    <t>Concatenate</t>
  </si>
  <si>
    <t>CHILLER PLANTS &amp; HVAC</t>
  </si>
  <si>
    <t>CLASSROOM BUILDINGS</t>
  </si>
  <si>
    <t>CORRECTIONAL FACILITIES</t>
  </si>
  <si>
    <t>COURTS</t>
  </si>
  <si>
    <t xml:space="preserve">FOOD </t>
  </si>
  <si>
    <t>GYM-PHYS-ED BUILDINGS</t>
  </si>
  <si>
    <t>DRY LABS Physics Buildings, Engineering Buildings</t>
  </si>
  <si>
    <t>WET LABS Chemistry Buildings, Biology Buildings</t>
  </si>
  <si>
    <t>RESEARCH LABS</t>
  </si>
  <si>
    <t>LIBRARIES</t>
  </si>
  <si>
    <t>MEDICAL</t>
  </si>
  <si>
    <t>MULTIPURPOSE BUILDINGS</t>
  </si>
  <si>
    <t>MUSEUMS</t>
  </si>
  <si>
    <t>OFFICE BUILDINGS</t>
  </si>
  <si>
    <t>PARKING</t>
  </si>
  <si>
    <t>STUDENT CENTERS</t>
  </si>
  <si>
    <t>THEATERS</t>
  </si>
  <si>
    <t>Other</t>
  </si>
  <si>
    <t>UNIVERSITY WELCOME CENTERS</t>
  </si>
  <si>
    <t>Chiller Plants - Equipment Only</t>
  </si>
  <si>
    <t>New Classroom Buildings</t>
  </si>
  <si>
    <t>New Correctional Facilities</t>
  </si>
  <si>
    <t>Ren Court</t>
  </si>
  <si>
    <t>New Dormitory</t>
  </si>
  <si>
    <t>New Dining Hall</t>
  </si>
  <si>
    <t>New Gymnasium</t>
  </si>
  <si>
    <t>New Dry Lab - L</t>
  </si>
  <si>
    <t>New Wet Lab - M</t>
  </si>
  <si>
    <t>Research Labs</t>
  </si>
  <si>
    <t>New Library</t>
  </si>
  <si>
    <t>New Mental Health Facility</t>
  </si>
  <si>
    <t>New Multipurpose Center</t>
  </si>
  <si>
    <t>New Museum</t>
  </si>
  <si>
    <t>New Office Building</t>
  </si>
  <si>
    <t>New Parking (surface lots)</t>
  </si>
  <si>
    <t>New Parking Structure</t>
  </si>
  <si>
    <t>Roof Replacement</t>
  </si>
  <si>
    <t>New Student Centers</t>
  </si>
  <si>
    <t>New Theater</t>
  </si>
  <si>
    <t>Shooting Range</t>
  </si>
  <si>
    <t>Visitor's Centers</t>
  </si>
  <si>
    <t>Chiller Plants - incl. Building</t>
  </si>
  <si>
    <t>Renovate Classroom Buildings - M</t>
  </si>
  <si>
    <t>Renovate Dormitory - L</t>
  </si>
  <si>
    <t>Renovate Dining Hall</t>
  </si>
  <si>
    <t>Renovate Gymnasium</t>
  </si>
  <si>
    <t>New Dry Lab - M</t>
  </si>
  <si>
    <t>New Wet Lab - H</t>
  </si>
  <si>
    <t>Research Lab Additions</t>
  </si>
  <si>
    <t>Ren Libraries - M</t>
  </si>
  <si>
    <t>New Mental Health Clinic</t>
  </si>
  <si>
    <t>New Community Hospital</t>
  </si>
  <si>
    <t>Ren. Museum</t>
  </si>
  <si>
    <t>New Small Office Addition</t>
  </si>
  <si>
    <t>Ren Student Centers</t>
  </si>
  <si>
    <t>Ren. Theater - L</t>
  </si>
  <si>
    <t>Oyster Hatcheries</t>
  </si>
  <si>
    <t>Renovate Classroom Buildings - H</t>
  </si>
  <si>
    <t>Renovate Dormitory - Historic</t>
  </si>
  <si>
    <t>New Restaurant</t>
  </si>
  <si>
    <t>New Dry Lab - H</t>
  </si>
  <si>
    <t>Renovate Wet Lab - H</t>
  </si>
  <si>
    <t>Research Lab Renovations - H</t>
  </si>
  <si>
    <t>Ren.-Add Library</t>
  </si>
  <si>
    <t>New Clinic</t>
  </si>
  <si>
    <t>Museum - Replicas</t>
  </si>
  <si>
    <t>New/Ren Office 50-50</t>
  </si>
  <si>
    <t>Ren. Theater - M</t>
  </si>
  <si>
    <t>New Police Station</t>
  </si>
  <si>
    <t>Renovate Classroom Buildings - Historic</t>
  </si>
  <si>
    <t>New Dry Lab - Automotive</t>
  </si>
  <si>
    <t>Ren Medical</t>
  </si>
  <si>
    <t>Ren. Office - L</t>
  </si>
  <si>
    <t>Ren. Theater - H</t>
  </si>
  <si>
    <t>Ranger Residence (St. Park)</t>
  </si>
  <si>
    <t>Ren. Dry Lab - L</t>
  </si>
  <si>
    <t>Ren. Office - M</t>
  </si>
  <si>
    <t>Fine Arts Center</t>
  </si>
  <si>
    <t>New Cabin Complex (St. Park)</t>
  </si>
  <si>
    <t>Ren. Dry Lab - M</t>
  </si>
  <si>
    <t>Ren. Office - H</t>
  </si>
  <si>
    <t>Performing Arts Center</t>
  </si>
  <si>
    <t>Reno. -Cabin Complex (St. Park)</t>
  </si>
  <si>
    <t>Ren. Dry Lab - H</t>
  </si>
  <si>
    <t>Office Tenant Upfit - M</t>
  </si>
  <si>
    <t>Bathhouse (St. Park)</t>
  </si>
  <si>
    <t>New Vocational Labs</t>
  </si>
  <si>
    <t>Maintenance Buildings</t>
  </si>
  <si>
    <t>Equipment - Labs</t>
  </si>
  <si>
    <t>Fire Alarm (including Demo &amp; Restoring Finishes)</t>
  </si>
  <si>
    <t>Below is not a true table  but a created one:</t>
  </si>
  <si>
    <t>▪️ from Column D to M by HSTACK,CHOOSECOLS &amp; FILTER (see cell D5)</t>
  </si>
  <si>
    <t>▪️ Column B data is obtained by doing a XLOOUP on main VBCCD file and then converting to values</t>
  </si>
  <si>
    <t xml:space="preserve"> ▪️ Column C is obtained by doing search on VBCCD Building Types worksheet.</t>
  </si>
  <si>
    <t>Sheet Position in VBBCCD</t>
  </si>
  <si>
    <t>Building Category</t>
  </si>
  <si>
    <t>Tab Name</t>
  </si>
  <si>
    <t>Name in Summary</t>
  </si>
  <si>
    <t># of Comps</t>
  </si>
  <si>
    <t>Update Done</t>
  </si>
  <si>
    <t>To be added to Summary</t>
  </si>
  <si>
    <t xml:space="preserve">*Cost Multiplier </t>
  </si>
  <si>
    <t>Quantity Unit</t>
  </si>
  <si>
    <t>Quantity Range of Comps</t>
  </si>
  <si>
    <t>Median Quantity</t>
  </si>
  <si>
    <t>$/Quantity</t>
  </si>
  <si>
    <t>Match</t>
  </si>
  <si>
    <t>Row Labels</t>
  </si>
  <si>
    <t>Count of VBCCD Tabs Name</t>
  </si>
  <si>
    <t>VBCCD Building Types Count</t>
  </si>
  <si>
    <t>LINK&gt;&gt;R_1 ADMIN R_4 (FINAL) Virginia Building Construction Cost Database - 2026.xlsx</t>
  </si>
  <si>
    <t>CCD</t>
  </si>
  <si>
    <t xml:space="preserve">     VIRGINIA BUILDING CONSTRUCTION COST DATABASE</t>
  </si>
  <si>
    <t>A/E FEE</t>
  </si>
  <si>
    <t>SCD</t>
  </si>
  <si>
    <t>VIRGINIA SYSTEMS COSTS DATABASE</t>
  </si>
  <si>
    <t xml:space="preserve">Values are only displayed when the results are statistically significant.
The Virginia Databases are continually growing.  </t>
  </si>
  <si>
    <t>UNIFORMAT II</t>
  </si>
  <si>
    <t>LINKS:</t>
  </si>
  <si>
    <t>Pool Funding</t>
  </si>
  <si>
    <t>A Substructure</t>
  </si>
  <si>
    <t>B Shell</t>
  </si>
  <si>
    <t>C Interiors</t>
  </si>
  <si>
    <t>D Services</t>
  </si>
  <si>
    <t>E Equipment &amp; Furnishings</t>
  </si>
  <si>
    <t>F Special Construction &amp; Demolition</t>
  </si>
  <si>
    <t>G Sitework &amp; Utilities</t>
  </si>
  <si>
    <t>Z  
Gen'l. Cond. / OH&amp;P</t>
  </si>
  <si>
    <t>Not every building type is represented in this database.  However, this database is continually being updated and new building types added as needed.  Deviation in cost from previous years is a result of market shift, a change in the number of comps making-up the average, or both.  
These cost averages from actual projects are intended as a point of reference for State agencies when budgeting new projects.  That said, budget costs may vary up or down from these references, depending upon the unique scope, features, site requirements, and other factors which affect every project.  Agencies may use the "Comps" tab, in State Form DGS-30-199 CR-1 to add cost modifications to either a comp or from a database such as this to asssist in developing a new project budget (see BCOM Forms link to right).
Agencies should review the Pool Funding Section on DEB's website, especially the Substantiating Costs document (see  Pool Funding link to right).</t>
  </si>
  <si>
    <t>A10  
Foundations</t>
  </si>
  <si>
    <t>A20  
Basement Construction</t>
  </si>
  <si>
    <t>B10  
Superstructure</t>
  </si>
  <si>
    <t>B20  
Exterior Enclosure</t>
  </si>
  <si>
    <t>B30  
Roofing</t>
  </si>
  <si>
    <t>C10  
Interior Construction</t>
  </si>
  <si>
    <t>C20  
Stairs</t>
  </si>
  <si>
    <t>C30  
Interior Finishes</t>
  </si>
  <si>
    <t>D10  
Conveying</t>
  </si>
  <si>
    <t>D20  
Plumbing</t>
  </si>
  <si>
    <t>D30  
HVAC</t>
  </si>
  <si>
    <t>D40  
Fire Protection</t>
  </si>
  <si>
    <t>D50  
Electrical</t>
  </si>
  <si>
    <t>E10  
Equipment</t>
  </si>
  <si>
    <t>E20  
Furnishings</t>
  </si>
  <si>
    <t>F10  
Special Construction</t>
  </si>
  <si>
    <t>F20  
Selective Building Demolition</t>
  </si>
  <si>
    <t>G10  
Site Preparation</t>
  </si>
  <si>
    <t>G20  
Site Improvements</t>
  </si>
  <si>
    <t>G30  
Site Mechanical Utilities</t>
  </si>
  <si>
    <t>G40  
Site Electrical Utilities</t>
  </si>
  <si>
    <t>G90  
Other Site Construction</t>
  </si>
  <si>
    <r>
      <t xml:space="preserve">CR-1 Example
</t>
    </r>
    <r>
      <rPr>
        <b/>
        <u/>
        <sz val="12"/>
        <color indexed="12"/>
        <rFont val="Arial"/>
        <family val="2"/>
      </rPr>
      <t>(not having latest Update - still useful)</t>
    </r>
  </si>
  <si>
    <t>CR-2</t>
  </si>
  <si>
    <t>Non- Formula Text in Orangish Font</t>
  </si>
  <si>
    <t>*Cost Multiplier
Cost Multiplier is a calculated coefficient multiplicable to unit price utilized for current estimation to account for size variation of the proposed project over the sizes of the projects that helped build-up the estimate unit price. This is automatically incorporated in CR-1 Project Planner.</t>
  </si>
  <si>
    <t>▼5/15/2024: Not Updated►►</t>
  </si>
  <si>
    <t>New Addition 2026</t>
  </si>
  <si>
    <t>BUILDING CATEGORY/ TYPE</t>
  </si>
  <si>
    <t>CHILLER PLANTS &amp; HVAC:</t>
  </si>
  <si>
    <t/>
  </si>
  <si>
    <t>CHILLER PLANTS:</t>
  </si>
  <si>
    <t>per ton</t>
  </si>
  <si>
    <t>▼ SECTION NOT UPDATED AS OF 5/13/2024  ►  ►  ►  ►</t>
  </si>
  <si>
    <t>Chiller Plants - Equip. Only</t>
  </si>
  <si>
    <t>2026Addition</t>
  </si>
  <si>
    <t>Tonne</t>
  </si>
  <si>
    <t>1,200 - 3,220</t>
  </si>
  <si>
    <t>3,000 - 6,000</t>
  </si>
  <si>
    <t>Sq. Ft.</t>
  </si>
  <si>
    <t>4,892 - 94,400</t>
  </si>
  <si>
    <t>CLASSROOM BUILDINGS:</t>
  </si>
  <si>
    <t xml:space="preserve">New CR </t>
  </si>
  <si>
    <t>21,686 - 299,748</t>
  </si>
  <si>
    <t>Ren CR - L</t>
  </si>
  <si>
    <t>Renovate Classroom Buildings - L</t>
  </si>
  <si>
    <t>2026Deletion</t>
  </si>
  <si>
    <t>1,670 - 54,666</t>
  </si>
  <si>
    <t>Ren CR - M</t>
  </si>
  <si>
    <t>7,804 - 64,750</t>
  </si>
  <si>
    <t>Ren CR - H</t>
  </si>
  <si>
    <t>13,786 - 210,903</t>
  </si>
  <si>
    <t>Ren CR - Historic</t>
  </si>
  <si>
    <t>13,717 - 159,129</t>
  </si>
  <si>
    <t>19,920 - 200,011</t>
  </si>
  <si>
    <t>29,900 - 44,826</t>
  </si>
  <si>
    <t>New Dorm</t>
  </si>
  <si>
    <t>34,550 - 216,770</t>
  </si>
  <si>
    <t>Ren Dorm</t>
  </si>
  <si>
    <t>6,600 - 106,500</t>
  </si>
  <si>
    <t>Ren Dorm - Historic</t>
  </si>
  <si>
    <t>36,244 - 50,986</t>
  </si>
  <si>
    <t>Equipment</t>
  </si>
  <si>
    <t>Equipment Only</t>
  </si>
  <si>
    <t>41,878 - 159,129</t>
  </si>
  <si>
    <t>NotFound</t>
  </si>
  <si>
    <t>7,550 - 115,985</t>
  </si>
  <si>
    <t>Ren Dining Hall</t>
  </si>
  <si>
    <t>1,002 - 42,313</t>
  </si>
  <si>
    <t>5,770 - 24,000</t>
  </si>
  <si>
    <t>GYM-PHYS-ED BUILDINGS:</t>
  </si>
  <si>
    <t>New Gym</t>
  </si>
  <si>
    <t>16,912 - 110,000</t>
  </si>
  <si>
    <t>Ren Gym</t>
  </si>
  <si>
    <t>16,353 - 197,385</t>
  </si>
  <si>
    <t>DRY LABS: Physics Buildings, Engineering Buildings:</t>
  </si>
  <si>
    <t>DRY Labs - Physics Buildings, Engineering Buildings:</t>
  </si>
  <si>
    <t>New Dry Labs - L</t>
  </si>
  <si>
    <t>13,800 - 161,100</t>
  </si>
  <si>
    <t>New Dry Labs - M</t>
  </si>
  <si>
    <t>26,000 - 161,100</t>
  </si>
  <si>
    <t>New Dry Labs - H</t>
  </si>
  <si>
    <t>40,000 - 287,000</t>
  </si>
  <si>
    <t>13,800 - 30,670</t>
  </si>
  <si>
    <t>Ren Dry Lab - L</t>
  </si>
  <si>
    <t>13,190 - 46,534</t>
  </si>
  <si>
    <t>Ren Dry Lab - M</t>
  </si>
  <si>
    <t>4,600 - 68,000</t>
  </si>
  <si>
    <t>Ren Dry Lab - H</t>
  </si>
  <si>
    <t>2,950 - 124,162</t>
  </si>
  <si>
    <t>Soft Costs as a Percent of Construction Cost</t>
  </si>
  <si>
    <t>Average of All Comps</t>
  </si>
  <si>
    <t>WET LABS: Chemistry Buildings, Biology Buildings</t>
  </si>
  <si>
    <t>New Wet Labs - M</t>
  </si>
  <si>
    <t>2,304 - 116,791</t>
  </si>
  <si>
    <t>New Wet Labs - H</t>
  </si>
  <si>
    <t>2,304 - 174,195</t>
  </si>
  <si>
    <t>Ren Wet Labs</t>
  </si>
  <si>
    <t>2,782 - 160,000</t>
  </si>
  <si>
    <t>RESEARCH LABS:</t>
  </si>
  <si>
    <t>15,014 - 292,371</t>
  </si>
  <si>
    <t>4,190 - 15,014</t>
  </si>
  <si>
    <t>2,782 - 30,514</t>
  </si>
  <si>
    <t>LIBRARIES:</t>
  </si>
  <si>
    <t>New Libraries</t>
  </si>
  <si>
    <t>30,770 - 200,000</t>
  </si>
  <si>
    <t>1,202 - 28,000</t>
  </si>
  <si>
    <t>Ren-Add Libraries</t>
  </si>
  <si>
    <t>25,000 - 161,000</t>
  </si>
  <si>
    <t>117,000 - 430,000</t>
  </si>
  <si>
    <t>10,679 - 42,495</t>
  </si>
  <si>
    <t>New-Medical</t>
  </si>
  <si>
    <t>13,000 - 460,740</t>
  </si>
  <si>
    <t>7,594 - 94,039</t>
  </si>
  <si>
    <t>19,920 - 179,569</t>
  </si>
  <si>
    <t>MULTIPURPOSE BUILDINGS:</t>
  </si>
  <si>
    <t>Multipurpose Center</t>
  </si>
  <si>
    <t>11,766 - 167,874</t>
  </si>
  <si>
    <t>Recreation Center</t>
  </si>
  <si>
    <t>1,639 - 197,385</t>
  </si>
  <si>
    <t>New Museums</t>
  </si>
  <si>
    <t>2,667 - 449,000</t>
  </si>
  <si>
    <t>Ren Museums</t>
  </si>
  <si>
    <t>5,000 - 16,000</t>
  </si>
  <si>
    <t>Museums - Replica</t>
  </si>
  <si>
    <t>3,538 - 30,000</t>
  </si>
  <si>
    <t>OFFICE BUILDINGS:</t>
  </si>
  <si>
    <t>3,200 - 105,000</t>
  </si>
  <si>
    <t>New Small Off Add</t>
  </si>
  <si>
    <t>1,933 - 15,684</t>
  </si>
  <si>
    <t>New-Ren Office 50-50</t>
  </si>
  <si>
    <t>1,643 - 51,665</t>
  </si>
  <si>
    <t>Ren Office - L</t>
  </si>
  <si>
    <t>7,500 - 163,935</t>
  </si>
  <si>
    <t>Ren Office - M</t>
  </si>
  <si>
    <t>1,933 - 163,935</t>
  </si>
  <si>
    <t>Ren Office - H</t>
  </si>
  <si>
    <t>9,730 - 163,935</t>
  </si>
  <si>
    <t>11,000 - 65,900</t>
  </si>
  <si>
    <t>per car</t>
  </si>
  <si>
    <t>Parking</t>
  </si>
  <si>
    <t>Spaces</t>
  </si>
  <si>
    <t>94 - 520</t>
  </si>
  <si>
    <t>Parking Structure</t>
  </si>
  <si>
    <t>102,455 - 840,000</t>
  </si>
  <si>
    <t>READINESS CENTER</t>
  </si>
  <si>
    <t xml:space="preserve">New Readiness Center </t>
  </si>
  <si>
    <t>2,000 - 6,387</t>
  </si>
  <si>
    <t>Ren Readiness Center</t>
  </si>
  <si>
    <t>1,617 - 52,800</t>
  </si>
  <si>
    <t>ROOFING:</t>
  </si>
  <si>
    <t>Roofing</t>
  </si>
  <si>
    <t>2,843 - 422,170</t>
  </si>
  <si>
    <t>Student Centers</t>
  </si>
  <si>
    <t>6,800 - 177,362</t>
  </si>
  <si>
    <t>24,150 - 113,531</t>
  </si>
  <si>
    <t>THEATERS:</t>
  </si>
  <si>
    <t>New Theaters</t>
  </si>
  <si>
    <t>5,063 - 41,983</t>
  </si>
  <si>
    <t>Ren Theaters - L</t>
  </si>
  <si>
    <t>40,000 - 40,000</t>
  </si>
  <si>
    <t>Ren Theaters - M</t>
  </si>
  <si>
    <t>27,600 - 40,000</t>
  </si>
  <si>
    <t>Ren Theaters - H</t>
  </si>
  <si>
    <t>3,500 - 122,955</t>
  </si>
  <si>
    <t>Fine Arts Centers</t>
  </si>
  <si>
    <t>23,500 - 147,382</t>
  </si>
  <si>
    <t>Performing Arts Centers</t>
  </si>
  <si>
    <t>48,158 - 212,935</t>
  </si>
  <si>
    <t>OTHER</t>
  </si>
  <si>
    <t>Miscellaneous</t>
  </si>
  <si>
    <t>10,000 - 20,976</t>
  </si>
  <si>
    <t>11,704 - 62,800</t>
  </si>
  <si>
    <t>1,933 - 97,866</t>
  </si>
  <si>
    <t>1,463 - 2,926</t>
  </si>
  <si>
    <t>Cabin Complex (St. Park)</t>
  </si>
  <si>
    <t>912 - 23,816</t>
  </si>
  <si>
    <t>17,360 - 30,976</t>
  </si>
  <si>
    <t>Picnic Shelter (St. Park)</t>
  </si>
  <si>
    <t>1,120 - 7,347</t>
  </si>
  <si>
    <t>Park Office (St. Park)</t>
  </si>
  <si>
    <t>1,643 - 4,463</t>
  </si>
  <si>
    <t>204 - 3,528</t>
  </si>
  <si>
    <t>Maintenance Complex (St. Park)</t>
  </si>
  <si>
    <t>2,699 - 3,885</t>
  </si>
  <si>
    <t>24,000 - 60,000</t>
  </si>
  <si>
    <t>4,200 - 32,560</t>
  </si>
  <si>
    <t>VDOT-COMBO (Chem &amp; Stor)</t>
  </si>
  <si>
    <t>160 - 24,993</t>
  </si>
  <si>
    <t>33,400 - 128,000</t>
  </si>
  <si>
    <t>Fire Alarm</t>
  </si>
  <si>
    <t>18,144 - 554,763</t>
  </si>
  <si>
    <t>Visitors Centers</t>
  </si>
  <si>
    <t>3,264 - 39,103</t>
  </si>
  <si>
    <t>WWTP:</t>
  </si>
  <si>
    <t>WWTP</t>
  </si>
  <si>
    <t>CALL -
(SLIDING SCALE)</t>
  </si>
  <si>
    <t>LEGEND:</t>
  </si>
  <si>
    <t>FOR NEW CONSTRUCTION:</t>
  </si>
  <si>
    <t>FOR RENOVATION:</t>
  </si>
  <si>
    <t>Notes:</t>
  </si>
  <si>
    <t>L</t>
  </si>
  <si>
    <t>Light</t>
  </si>
  <si>
    <t>Greater than 25% of the square footage is actual laboratory space (approximately).</t>
  </si>
  <si>
    <t>Finishes and ceiling</t>
  </si>
  <si>
    <t xml:space="preserve">Medium </t>
  </si>
  <si>
    <t>Greater than 33% of the square footage is actual laboratory space (approximately).</t>
  </si>
  <si>
    <t>Finishes, ceiling, and HVAC dist.</t>
  </si>
  <si>
    <t>H</t>
  </si>
  <si>
    <t>Heavy</t>
  </si>
  <si>
    <t>Greater than 50% of the square footage is actual laboratory space (approximately).</t>
  </si>
  <si>
    <t>Shell completion, and HVAC replacement</t>
  </si>
  <si>
    <r>
      <t xml:space="preserve">Wet lab: </t>
    </r>
    <r>
      <rPr>
        <sz val="16"/>
        <rFont val="Arial"/>
        <family val="2"/>
      </rPr>
      <t xml:space="preserve"> A Wet Laboratory is a laboratory space where chemicals, drugs, or other material or biological matter are tested and analyzed requiring water, direct ventilation, and specialized piped utilities.
</t>
    </r>
    <r>
      <rPr>
        <b/>
        <sz val="16"/>
        <color indexed="10"/>
        <rFont val="Arial"/>
        <family val="2"/>
      </rPr>
      <t>Chemistry Buildings, Biology Buildings.  BSL-1 to 2 in this database.</t>
    </r>
  </si>
  <si>
    <r>
      <t xml:space="preserve">Research lab: </t>
    </r>
    <r>
      <rPr>
        <sz val="16"/>
        <rFont val="Arial"/>
        <family val="2"/>
      </rPr>
      <t xml:space="preserve"> </t>
    </r>
    <r>
      <rPr>
        <b/>
        <sz val="16"/>
        <color indexed="10"/>
        <rFont val="Arial"/>
        <family val="2"/>
      </rPr>
      <t xml:space="preserve"> BSL-3 / ABSL-3 in this database.</t>
    </r>
  </si>
  <si>
    <r>
      <t>Dry lab:</t>
    </r>
    <r>
      <rPr>
        <sz val="16"/>
        <rFont val="Arial"/>
        <family val="2"/>
      </rPr>
      <t xml:space="preserve">  A Dry Laboratory is a laboratory space that is specific to work with dry materials, electronics, and/or large instruments with few piped services. These labs may require accurate temperature and humidity control, dust control, and clean power.
</t>
    </r>
    <r>
      <rPr>
        <b/>
        <sz val="16"/>
        <color indexed="10"/>
        <rFont val="Arial"/>
        <family val="2"/>
      </rPr>
      <t>Physics Buildings, Engineering Buildings.</t>
    </r>
  </si>
  <si>
    <t>ADA Additions</t>
  </si>
  <si>
    <t>Stair Addition</t>
  </si>
  <si>
    <t>Stair and Elevator Addition</t>
  </si>
  <si>
    <t>Stair, Elevator, and Toilet Room Addition</t>
  </si>
  <si>
    <t>Historical 
Cost 
Index</t>
  </si>
  <si>
    <t>Latest HCI Update Year
(table below)</t>
  </si>
  <si>
    <t>Fill to highlight maximum HCI for the year</t>
  </si>
  <si>
    <t>From RSMeans, Historical Cost Index Data 2026
Copyright Gordian.
30 Patewood Dr. Suite 350, Greenville, SC, 29615; All rights reserved</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</si>
  <si>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</si>
  <si>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</si>
  <si>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</si>
  <si>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</si>
  <si>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</si>
  <si>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</si>
  <si>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</si>
  <si>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</si>
  <si>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</si>
  <si>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</si>
  <si>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</si>
  <si>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</si>
  <si>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</si>
  <si>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</si>
  <si>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</si>
  <si>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</si>
  <si>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</si>
  <si>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</si>
  <si>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</si>
  <si>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</si>
  <si>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</si>
  <si>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</si>
  <si>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</si>
  <si>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</si>
  <si>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</si>
  <si>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</si>
  <si>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</si>
  <si>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</si>
  <si>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</si>
  <si>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</si>
  <si>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</si>
  <si>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</si>
  <si>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</si>
  <si>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</si>
  <si>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</si>
  <si>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</si>
  <si>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</si>
  <si>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</si>
  <si>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</si>
  <si>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</si>
  <si>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</si>
  <si>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</si>
  <si>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</si>
  <si>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</si>
  <si>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</si>
  <si>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</si>
  <si>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</si>
  <si>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</si>
  <si>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</si>
  <si>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</si>
  <si>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</si>
  <si>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</si>
  <si>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</si>
  <si>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</si>
  <si>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</si>
  <si>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</si>
  <si>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</si>
  <si>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</si>
  <si>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</si>
  <si>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</si>
  <si>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</si>
  <si>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</si>
  <si>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</si>
  <si>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</si>
  <si>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</si>
  <si>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</si>
  <si>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</si>
  <si>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</si>
  <si>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</si>
  <si>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</si>
  <si>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</si>
  <si>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</si>
  <si>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</si>
  <si>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</si>
  <si>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</si>
  <si>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</si>
  <si>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</si>
  <si>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</si>
  <si>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</si>
  <si>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</si>
  <si>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</si>
  <si>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</si>
  <si>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</si>
  <si>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</si>
  <si>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</si>
  <si>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</si>
  <si>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</si>
  <si>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</si>
  <si>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</si>
  <si>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</si>
  <si>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</si>
  <si>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</si>
  <si>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</si>
  <si>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</si>
  <si>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</si>
  <si>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</si>
  <si>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</si>
  <si>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</si>
  <si>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</si>
  <si>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</si>
  <si>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</si>
  <si>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</si>
  <si>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</si>
  <si>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</si>
  <si>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</si>
  <si>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</si>
  <si>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</si>
  <si>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</si>
  <si>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</si>
  <si>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</si>
  <si>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</si>
  <si>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</si>
  <si>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</si>
  <si>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</si>
  <si>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</si>
  <si>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</si>
  <si>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</si>
  <si>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</si>
  <si>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</si>
  <si>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</si>
  <si>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</si>
  <si>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</si>
  <si>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</si>
  <si>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</si>
  <si>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</si>
  <si>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</si>
  <si>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</si>
  <si>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</si>
  <si>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</si>
  <si>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</si>
  <si>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</si>
  <si>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</si>
  <si>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</si>
  <si>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</si>
  <si>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</si>
  <si>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</si>
  <si>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</si>
  <si>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</si>
  <si>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</si>
  <si>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</si>
  <si>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</si>
  <si>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</si>
  <si>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</si>
  <si>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</si>
  <si>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</si>
  <si>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</si>
  <si>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</si>
  <si>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</si>
  <si>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</si>
  <si>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</si>
  <si>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</si>
  <si>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</si>
  <si>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</si>
  <si>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</si>
  <si>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</si>
  <si>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</si>
  <si>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</si>
  <si>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</si>
  <si>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</si>
  <si>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</si>
  <si>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</si>
  <si>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</si>
  <si>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</si>
  <si>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</si>
  <si>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</si>
  <si>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</si>
  <si>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</si>
  <si>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</si>
  <si>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</si>
  <si>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</si>
  <si>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</si>
  <si>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</si>
  <si>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</si>
  <si>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</si>
  <si>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</si>
  <si>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</si>
  <si>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</si>
  <si>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</si>
  <si>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</si>
  <si>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</si>
  <si>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</si>
  <si>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</si>
  <si>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</si>
  <si>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</si>
  <si>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</si>
  <si>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</si>
  <si>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</si>
  <si>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</si>
  <si>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</si>
  <si>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</si>
  <si>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</si>
  <si>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</si>
  <si>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</si>
  <si>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</si>
  <si>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</si>
  <si>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</si>
  <si>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</si>
  <si>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</si>
  <si>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</si>
  <si>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</si>
  <si>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</si>
  <si>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</si>
  <si>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</si>
  <si>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</si>
  <si>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</si>
  <si>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</si>
  <si>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</si>
  <si>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</si>
  <si>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</si>
  <si>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</si>
  <si>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</si>
  <si>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</si>
  <si>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</si>
  <si>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</si>
  <si>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</si>
  <si>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</si>
  <si>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</si>
  <si>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</si>
  <si>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</si>
  <si>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</si>
  <si>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</si>
  <si>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</si>
  <si>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</si>
  <si>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</si>
  <si>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</si>
  <si>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</si>
  <si>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</si>
  <si>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</si>
  <si>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</si>
  <si>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</si>
  <si>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</si>
  <si>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</si>
  <si>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</si>
  <si>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</si>
  <si>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</si>
  <si>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</si>
  <si>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</si>
  <si>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</si>
  <si>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</si>
  <si>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</si>
  <si>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</si>
  <si>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</si>
  <si>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</si>
  <si>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</si>
  <si>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</si>
  <si>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</si>
  <si>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</si>
  <si>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</si>
  <si>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</si>
  <si>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</si>
  <si>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</si>
  <si>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</si>
  <si>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</si>
  <si>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</si>
  <si>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</si>
  <si>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</si>
  <si>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</si>
  <si>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</si>
  <si>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</si>
  <si>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</si>
  <si>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</si>
  <si>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</si>
  <si>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</si>
  <si>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</si>
  <si>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</si>
  <si>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From RSMeans, Historical Cost Index Data 2024</t>
  </si>
  <si>
    <t>Copyright Gordian.</t>
  </si>
  <si>
    <t>30 Patewood Dr. Suite 350, Greenville, SC, 29615; All rights reserved</t>
  </si>
  <si>
    <t>Detailed Planning Cost Estimate</t>
  </si>
  <si>
    <t>UnEscalated</t>
  </si>
  <si>
    <t>Amount Required Eor Complete Project</t>
  </si>
  <si>
    <t>Percent Required For Detailed Planning</t>
  </si>
  <si>
    <t>Amount Required For Detailed Planning</t>
  </si>
  <si>
    <t>Percent Required For Bid Documents</t>
  </si>
  <si>
    <t>Amount Required For Bid Documents</t>
  </si>
  <si>
    <t>BCOM Services</t>
  </si>
  <si>
    <t>Name</t>
  </si>
  <si>
    <t>RefersTo</t>
  </si>
  <si>
    <t>ScopeType</t>
  </si>
  <si>
    <t>ScopeName</t>
  </si>
  <si>
    <t>Comment</t>
  </si>
  <si>
    <t>ErrorDetail</t>
  </si>
  <si>
    <t>BackupTimestamp</t>
  </si>
  <si>
    <t>WriteError</t>
  </si>
  <si>
    <t>WriteErrorDetail</t>
  </si>
  <si>
    <t>Future Updates'!_Val2</t>
  </si>
  <si>
    <t>=#REF!#REF!</t>
  </si>
  <si>
    <t>Worksheet</t>
  </si>
  <si>
    <t>Future Updates</t>
  </si>
  <si>
    <t>_Val2</t>
  </si>
  <si>
    <t>Workbook</t>
  </si>
  <si>
    <t>DRAFT dgs-30-199_April_2026_cr-1_project_planner.xlsx</t>
  </si>
  <si>
    <t>_xlfn.COUNTIFS</t>
  </si>
  <si>
    <t>=#NAME?</t>
  </si>
  <si>
    <t>_xlfn.IFERROR</t>
  </si>
  <si>
    <t>_xlfn.TEXTJOIN</t>
  </si>
  <si>
    <t>_xlfn.XLOOKUP</t>
  </si>
  <si>
    <t>Future Updates'!Abatement</t>
  </si>
  <si>
    <t>Abatement</t>
  </si>
  <si>
    <t>Future Updates'!Acquisition</t>
  </si>
  <si>
    <t>Future Updates'!AdminConst</t>
  </si>
  <si>
    <t>AdminConst</t>
  </si>
  <si>
    <t>Future Updates'!AdminPercent</t>
  </si>
  <si>
    <t>AdminPercent</t>
  </si>
  <si>
    <t>Future Updates'!AdminRem</t>
  </si>
  <si>
    <t>AdminRem</t>
  </si>
  <si>
    <t>Future Updates'!AEFeeType</t>
  </si>
  <si>
    <t>AEFeeType</t>
  </si>
  <si>
    <t>Future Updates'!AETotal</t>
  </si>
  <si>
    <t>AETotal</t>
  </si>
  <si>
    <t>Future Updates'!AgencyName</t>
  </si>
  <si>
    <t>AgencyName</t>
  </si>
  <si>
    <t>Future Updates'!Award</t>
  </si>
  <si>
    <t>Award</t>
  </si>
  <si>
    <t>Future Updates'!BegDesign</t>
  </si>
  <si>
    <t>BegDesign</t>
  </si>
  <si>
    <t>Future Updates'!BidDate</t>
  </si>
  <si>
    <t>BidDate</t>
  </si>
  <si>
    <t>Future Updates'!Biennium</t>
  </si>
  <si>
    <t>Future Updates'!BldgCategory</t>
  </si>
  <si>
    <t>Type 2 Comps'!BldgCategory</t>
  </si>
  <si>
    <t>='Type 2 Comps'!$D$5</t>
  </si>
  <si>
    <t>Type 2 Comps</t>
  </si>
  <si>
    <t>Type 3 Comps'!BldgCategory</t>
  </si>
  <si>
    <t>='Type 3 Comps'!$D$5</t>
  </si>
  <si>
    <t>Type 3 Comps</t>
  </si>
  <si>
    <t>BldgCategory</t>
  </si>
  <si>
    <t>='Type 1 Comps'!$D$5</t>
  </si>
  <si>
    <t>Future Updates'!Blender_PWEndLimit</t>
  </si>
  <si>
    <t>=tbl_Blender_PWpercent_1 #REF!#REF!</t>
  </si>
  <si>
    <t>Blender_PWEndLimit</t>
  </si>
  <si>
    <t>Future Updates'!Blender_PWpercentage</t>
  </si>
  <si>
    <t>='DRAFT dgs-30-199_April_2026_cr-1_project_planner.xlsx'!tbl_Blender_PWpercent #REF!#REF!</t>
  </si>
  <si>
    <t>Blender_PWpercentage</t>
  </si>
  <si>
    <t>Future Updates'!Blender_PWStartLimit</t>
  </si>
  <si>
    <t>Blender_PWStartLimit</t>
  </si>
  <si>
    <t>Future Updates'!BudWOadmin</t>
  </si>
  <si>
    <t>BudWOadmin</t>
  </si>
  <si>
    <t>Future Updates'!Campus</t>
  </si>
  <si>
    <t>Campus</t>
  </si>
  <si>
    <t>Future Updates'!CampusLocation</t>
  </si>
  <si>
    <t>CampusLocation</t>
  </si>
  <si>
    <t>Future Updates'!Categories</t>
  </si>
  <si>
    <t>Categories</t>
  </si>
  <si>
    <t>CLASSROOM_BUILDINGS</t>
  </si>
  <si>
    <t>='VBCCD BldgTypes'!$D$4:$D$14</t>
  </si>
  <si>
    <t>Type 2 Comps'!CM_ProjectType</t>
  </si>
  <si>
    <t>=tbl_ProjectTypes_SF_CM[Project Type (ths part) - Quantity Unit]</t>
  </si>
  <si>
    <t>Type 3 Comps'!CM_ProjectType</t>
  </si>
  <si>
    <t>CM_ProjectType</t>
  </si>
  <si>
    <t>Future Updates'!CMFee</t>
  </si>
  <si>
    <t>CMFee</t>
  </si>
  <si>
    <t>Future Updates'!CompInf</t>
  </si>
  <si>
    <t>CompInf</t>
  </si>
  <si>
    <t>Future Updates'!ConstComp</t>
  </si>
  <si>
    <t>ConstComp</t>
  </si>
  <si>
    <t>Future Updates'!ConstCostNew</t>
  </si>
  <si>
    <t>ConstCostNew</t>
  </si>
  <si>
    <t>Future Updates'!ConstCostRenov</t>
  </si>
  <si>
    <t>ConstCostRenov</t>
  </si>
  <si>
    <t>Future Updates'!ConstStart</t>
  </si>
  <si>
    <t>ConstStart</t>
  </si>
  <si>
    <t>Future Updates'!CostsAsOfDate</t>
  </si>
  <si>
    <t>CostsAsOfDate</t>
  </si>
  <si>
    <t>='VBCCD BldgTypes'!$E$4:$E$14</t>
  </si>
  <si>
    <t>Future Updates'!Dates</t>
  </si>
  <si>
    <t>Type 2 Comps'!dd_BldgCategory</t>
  </si>
  <si>
    <t>=tbl_VBCCDBldgTypes2024[#Headers]</t>
  </si>
  <si>
    <t>Type 3 Comps'!dd_BldgCategory</t>
  </si>
  <si>
    <t>dd_BldgCategory</t>
  </si>
  <si>
    <t>Future Updates'!dd_BldgTypes2</t>
  </si>
  <si>
    <t>=INDEX(#REF!#REF!,1,'Future Updates'!dd_col_num):INDEX(#REF!#REF!,COUNTA('Future Updates'!dd_col),'Future Updates'!dd_col_num)</t>
  </si>
  <si>
    <t>Type 2 Comps'!dd_BldgTypes2</t>
  </si>
  <si>
    <t>=INDEX(tbl_VBCCDBldgTypes2024,1,'Type 2 Comps'!dd_col_num):INDEX(tbl_VBCCDBldgTypes2024,COUNTA('Type 2 Comps'!dd_col),'Type 2 Comps'!dd_col_num)</t>
  </si>
  <si>
    <t>Type 3 Comps'!dd_BldgTypes2</t>
  </si>
  <si>
    <t>=INDEX(tbl_VBCCDBldgTypes2024,1,'Type 3 Comps'!dd_col_num):INDEX(tbl_VBCCDBldgTypes2024,COUNTA('Type 3 Comps'!dd_col),'Type 3 Comps'!dd_col_num)</t>
  </si>
  <si>
    <t>dd_BldgTypes2</t>
  </si>
  <si>
    <t>=INDEX(tbl_VBCCDBldgTypes2024,1,dd_col_num):INDEX(tbl_VBCCDBldgTypes2024,COUNTA(dd_col),dd_col_num)</t>
  </si>
  <si>
    <t>Future Updates'!dd_col</t>
  </si>
  <si>
    <t>=INDEX(#REF!#REF!,,'Future Updates'!dd_col_num)</t>
  </si>
  <si>
    <t>Type 2 Comps'!dd_col</t>
  </si>
  <si>
    <t>=INDEX(tbl_VBCCDBldgTypes2024,,'Type 2 Comps'!dd_col_num)</t>
  </si>
  <si>
    <t>Type 3 Comps'!dd_col</t>
  </si>
  <si>
    <t>=INDEX(tbl_VBCCDBldgTypes2024,,'Type 3 Comps'!dd_col_num)</t>
  </si>
  <si>
    <t>dd_col</t>
  </si>
  <si>
    <t>=INDEX(tbl_VBCCDBldgTypes2024,,dd_col_num)</t>
  </si>
  <si>
    <t>Future Updates'!dd_col_num</t>
  </si>
  <si>
    <t>=MATCH('Future Updates'!BldgCategory,dd_BldgCategory,0)</t>
  </si>
  <si>
    <t>Type 2 Comps'!dd_col_num</t>
  </si>
  <si>
    <t>=MATCH('Type 2 Comps'!BldgCategory,'Type 2 Comps'!dd_BldgCategory,0)</t>
  </si>
  <si>
    <t>Type 3 Comps'!dd_col_num</t>
  </si>
  <si>
    <t>=MATCH('Type 3 Comps'!BldgCategory,'Type 3 Comps'!dd_BldgCategory,0)</t>
  </si>
  <si>
    <t>dd_col_num</t>
  </si>
  <si>
    <t>=MATCH(BldgCategory,dd_BldgCategory,0)</t>
  </si>
  <si>
    <t>Future Updates'!DEB_LeadReviewers</t>
  </si>
  <si>
    <t>DEB_LeadReviewers</t>
  </si>
  <si>
    <t>Future Updates'!Demolition</t>
  </si>
  <si>
    <t>Future Updates'!DesignDates</t>
  </si>
  <si>
    <t>DesignDates</t>
  </si>
  <si>
    <t>Future Updates'!DetailAdmin</t>
  </si>
  <si>
    <t>DetailAdmin</t>
  </si>
  <si>
    <t>='VBCCD BldgTypes'!$F$4:$F$14</t>
  </si>
  <si>
    <t>Future Updates'!DPB_Analysts</t>
  </si>
  <si>
    <t>DPB_Analysts</t>
  </si>
  <si>
    <t>DRY_LABS_Physics_Buildings__Engineering_Buildings</t>
  </si>
  <si>
    <t>='VBCCD BldgTypes'!$I$4:$I$14</t>
  </si>
  <si>
    <t>Future Updates'!EffArray</t>
  </si>
  <si>
    <t>EffArray</t>
  </si>
  <si>
    <t>Future Updates'!EffCat</t>
  </si>
  <si>
    <t>EffCat</t>
  </si>
  <si>
    <t>Future Updates'!EffType</t>
  </si>
  <si>
    <t>EffType</t>
  </si>
  <si>
    <t>Future Updates'!EightMillion</t>
  </si>
  <si>
    <t>EightMillion</t>
  </si>
  <si>
    <t>Future Updates'!EngConsult</t>
  </si>
  <si>
    <t>EngConsult</t>
  </si>
  <si>
    <t>Future Updates'!EquipArray</t>
  </si>
  <si>
    <t>EquipArray</t>
  </si>
  <si>
    <t>Future Updates'!EquipCat</t>
  </si>
  <si>
    <t>EquipCat</t>
  </si>
  <si>
    <t>Future Updates'!EquipTotal</t>
  </si>
  <si>
    <t>EquipTotal</t>
  </si>
  <si>
    <t>Future Updates'!FacType</t>
  </si>
  <si>
    <t>FacType</t>
  </si>
  <si>
    <t>Future Updates'!FeeSched</t>
  </si>
  <si>
    <t>FeeSched</t>
  </si>
  <si>
    <t>FifteenMillion</t>
  </si>
  <si>
    <t>=15000000</t>
  </si>
  <si>
    <t>FiftyK</t>
  </si>
  <si>
    <t>=50000</t>
  </si>
  <si>
    <t>FIPS</t>
  </si>
  <si>
    <t>=Codes!$A$2:$A$138</t>
  </si>
  <si>
    <t>Future Updates'!First</t>
  </si>
  <si>
    <t>First</t>
  </si>
  <si>
    <t>Future Updates'!FiscalYears</t>
  </si>
  <si>
    <t>FiscalYears</t>
  </si>
  <si>
    <t>FiveHundrThous</t>
  </si>
  <si>
    <t>=500000</t>
  </si>
  <si>
    <t>FiveK</t>
  </si>
  <si>
    <t>=5000</t>
  </si>
  <si>
    <t>FiveMillion</t>
  </si>
  <si>
    <t>=5000000</t>
  </si>
  <si>
    <t>FOOD</t>
  </si>
  <si>
    <t>='VBCCD BldgTypes'!$G$4:$G$14</t>
  </si>
  <si>
    <t>GYM_PHYS_ED_BUILDINGS</t>
  </si>
  <si>
    <t>='VBCCD BldgTypes'!$H$4:$H$14</t>
  </si>
  <si>
    <t>Future Updates'!Headers</t>
  </si>
  <si>
    <t>=#REF!#REF!,#REF!#REF!,#REF!#REF!,#REF!#REF!,#REF!#REF!,#REF!#REF!,#REF!#REF!</t>
  </si>
  <si>
    <t>Headers</t>
  </si>
  <si>
    <t>Future Updates'!InflRate</t>
  </si>
  <si>
    <t>InflRate</t>
  </si>
  <si>
    <t>Future Updates'!InfraElement</t>
  </si>
  <si>
    <t>InfraElement</t>
  </si>
  <si>
    <t>Future Updates'!InfRates</t>
  </si>
  <si>
    <t>InfRates</t>
  </si>
  <si>
    <t>Future Updates'!LEED_AE</t>
  </si>
  <si>
    <t>LEED_AE</t>
  </si>
  <si>
    <t>='VBCCD BldgTypes'!$L$4:$L$14</t>
  </si>
  <si>
    <t>='VBCCD BldgTypes'!$M$4:$M$14</t>
  </si>
  <si>
    <t>Future Updates'!MidConstInf</t>
  </si>
  <si>
    <t>MidConstInf</t>
  </si>
  <si>
    <t>Future Updates'!MidDesignInf</t>
  </si>
  <si>
    <t>MidDesignInf</t>
  </si>
  <si>
    <t>='VBCCD BldgTypes'!$V$4:$V$14</t>
  </si>
  <si>
    <t>MULTIPURPOSE_BUILDINGS</t>
  </si>
  <si>
    <t>='VBCCD BldgTypes'!$N$4:$N$14</t>
  </si>
  <si>
    <t>='VBCCD BldgTypes'!$O$4:$O$14</t>
  </si>
  <si>
    <t>Future Updates'!NewCostCurr</t>
  </si>
  <si>
    <t>NewCostCurr</t>
  </si>
  <si>
    <t>Future Updates'!NewCostSF</t>
  </si>
  <si>
    <t>NewCostSF</t>
  </si>
  <si>
    <t>Future Updates'!NewGSF</t>
  </si>
  <si>
    <t>NewGSF</t>
  </si>
  <si>
    <t>Future Updates'!NoOfBeds</t>
  </si>
  <si>
    <t>NoOfBeds</t>
  </si>
  <si>
    <t>Future Updates'!OccupInf</t>
  </si>
  <si>
    <t>OccupInf</t>
  </si>
  <si>
    <t>Future Updates'!Occupy</t>
  </si>
  <si>
    <t>Occupy</t>
  </si>
  <si>
    <t>OFFICE_BUILDINGS</t>
  </si>
  <si>
    <t>='VBCCD BldgTypes'!$P$4:$P$14</t>
  </si>
  <si>
    <t>Future Updates'!OneMillion</t>
  </si>
  <si>
    <t>OneMillion</t>
  </si>
  <si>
    <t>='VBCCD BldgTypes'!$Q$4:$Q$14</t>
  </si>
  <si>
    <t>PARKING_STRUCTURE</t>
  </si>
  <si>
    <t>='VBCCD BldgTypes'!$R$4:$R$14</t>
  </si>
  <si>
    <t>Future Updates'!PerConstTime</t>
  </si>
  <si>
    <t>PerConstTime</t>
  </si>
  <si>
    <t>Future Updates'!PerDesTime</t>
  </si>
  <si>
    <t>PerDesTime</t>
  </si>
  <si>
    <t>Future Updates'!PlanBud</t>
  </si>
  <si>
    <t>PlanBud</t>
  </si>
  <si>
    <t>Future Updates'!Planning</t>
  </si>
  <si>
    <t>Future Updates'!PName</t>
  </si>
  <si>
    <t>PName</t>
  </si>
  <si>
    <t>Future Updates'!PreAdminFee</t>
  </si>
  <si>
    <t>PreAdminFee</t>
  </si>
  <si>
    <t>Future Updates'!Preliminaries</t>
  </si>
  <si>
    <t>Preliminaries</t>
  </si>
  <si>
    <t>Future Updates'!PrepDate</t>
  </si>
  <si>
    <t>PrepDate</t>
  </si>
  <si>
    <t>Future Updates'!PrePlanArray</t>
  </si>
  <si>
    <t>PrePlanArray</t>
  </si>
  <si>
    <t>Future Updates'!PrePlanType</t>
  </si>
  <si>
    <t>PrePlanType</t>
  </si>
  <si>
    <t>Blender!Print_Area</t>
  </si>
  <si>
    <t>=Blender!$A$2:$N$18</t>
  </si>
  <si>
    <t>Budget!Print_Area</t>
  </si>
  <si>
    <t>=Budget!$A$2:$T$73</t>
  </si>
  <si>
    <t>DP Estimate'!Print_Area</t>
  </si>
  <si>
    <t>='DP Estimate'!$A$1:$G$49</t>
  </si>
  <si>
    <t>DP Estimate</t>
  </si>
  <si>
    <t>DWGs!Print_Area</t>
  </si>
  <si>
    <t>=DWGs!$A$2:$C$70</t>
  </si>
  <si>
    <t>DWGs</t>
  </si>
  <si>
    <t>Escalation!Print_Area</t>
  </si>
  <si>
    <t>=Escalation!$A$1:$L$66</t>
  </si>
  <si>
    <t>Escalation</t>
  </si>
  <si>
    <t>Estimate!Print_Area</t>
  </si>
  <si>
    <t>=Estimate!$A$2:$F$81</t>
  </si>
  <si>
    <t>Executive Summary'!Print_Area</t>
  </si>
  <si>
    <t>='Executive Summary'!$B$1:$J$29</t>
  </si>
  <si>
    <t>HCI!Print_Area</t>
  </si>
  <si>
    <t>=HCI!$GC$3:$GI$33</t>
  </si>
  <si>
    <t>Index!Print_Area</t>
  </si>
  <si>
    <t>=Index!$A$1:$Q$15</t>
  </si>
  <si>
    <t>Inst - Flo-Ch'!Print_Area</t>
  </si>
  <si>
    <t>='Inst - Flo-Ch'!$B$3:$AS$134</t>
  </si>
  <si>
    <t>Inst - Flo-Ch</t>
  </si>
  <si>
    <t>Inst - Writ'!Print_Area</t>
  </si>
  <si>
    <t>='Inst - Writ'!$B$3:$C$28</t>
  </si>
  <si>
    <t>Inst - Writ</t>
  </si>
  <si>
    <t>Narrative!Print_Area</t>
  </si>
  <si>
    <t>=Narrative!$A$2:$D$17</t>
  </si>
  <si>
    <t>Overview!Print_Area</t>
  </si>
  <si>
    <t>=Overview!$A$2:$F$69</t>
  </si>
  <si>
    <t>Type 1 Attr'!Print_Area</t>
  </si>
  <si>
    <t>='Type 1 Attr'!$A$2:$D$38</t>
  </si>
  <si>
    <t>Type 1 Attr</t>
  </si>
  <si>
    <t>Type 1 Comps'!Print_Area</t>
  </si>
  <si>
    <t>='Type 1 Comps'!$A$2:$I$49</t>
  </si>
  <si>
    <t>Type 1 Comps</t>
  </si>
  <si>
    <t>Type 1 Prog'!Print_Area</t>
  </si>
  <si>
    <t>='Type 1 Prog'!$A$2:$F$41</t>
  </si>
  <si>
    <t>Type 1 Prog</t>
  </si>
  <si>
    <t>Type 2 Attr'!Print_Area</t>
  </si>
  <si>
    <t>='Type 2 Attr'!$A$2:$D$38</t>
  </si>
  <si>
    <t>Type 2 Attr</t>
  </si>
  <si>
    <t>Type 2 Comps'!Print_Area</t>
  </si>
  <si>
    <t>='Type 2 Comps'!$A$2:$I$49</t>
  </si>
  <si>
    <t>Type 2 Prog'!Print_Area</t>
  </si>
  <si>
    <t>='Type 2 Prog'!$A$2:$F$41</t>
  </si>
  <si>
    <t>Type 2 Prog</t>
  </si>
  <si>
    <t>Type 3 Attr'!Print_Area</t>
  </si>
  <si>
    <t>='Type 3 Attr'!$A$2:$D$38</t>
  </si>
  <si>
    <t>Type 3 Attr</t>
  </si>
  <si>
    <t>Type 3 Comps'!Print_Area</t>
  </si>
  <si>
    <t>='Type 3 Comps'!$A$2:$I$49</t>
  </si>
  <si>
    <t>Type 3 Prog'!Print_Area</t>
  </si>
  <si>
    <t>='Type 3 Prog'!$A$2:$F$41</t>
  </si>
  <si>
    <t>Type 3 Prog</t>
  </si>
  <si>
    <t>Type 1 Attr'!Print_Titles</t>
  </si>
  <si>
    <t>='Type 1 Attr'!$6:$6</t>
  </si>
  <si>
    <t>Type 2 Attr'!Print_Titles</t>
  </si>
  <si>
    <t>='Type 2 Attr'!$6:$6</t>
  </si>
  <si>
    <t>Type 3 Attr'!Print_Titles</t>
  </si>
  <si>
    <t>='Type 3 Attr'!$6:$6</t>
  </si>
  <si>
    <t>Future Updates'!Priority</t>
  </si>
  <si>
    <t>Priority</t>
  </si>
  <si>
    <t>Future Updates'!Project</t>
  </si>
  <si>
    <t>Project</t>
  </si>
  <si>
    <t>PROJECT_TYPE</t>
  </si>
  <si>
    <t>=Codes!$B$2:$B$187</t>
  </si>
  <si>
    <t>Future Updates'!ProjMethod</t>
  </si>
  <si>
    <t>ProjMethod</t>
  </si>
  <si>
    <t>Future Updates'!ProjType</t>
  </si>
  <si>
    <t>ProjType</t>
  </si>
  <si>
    <t>Future Updates'!PType</t>
  </si>
  <si>
    <t>PType</t>
  </si>
  <si>
    <t>Future Updates'!PW</t>
  </si>
  <si>
    <t>PW</t>
  </si>
  <si>
    <t>QttyUnit</t>
  </si>
  <si>
    <t>Future Updates'!RANGE</t>
  </si>
  <si>
    <t>RANGE</t>
  </si>
  <si>
    <t>Future Updates'!RenovCostCurr</t>
  </si>
  <si>
    <t>RenovCostCurr</t>
  </si>
  <si>
    <t>Future Updates'!RenovCostSF</t>
  </si>
  <si>
    <t>RenovCostSF</t>
  </si>
  <si>
    <t>Future Updates'!RenovGSF</t>
  </si>
  <si>
    <t>RenovGSF</t>
  </si>
  <si>
    <t>RESEARCH_LABS</t>
  </si>
  <si>
    <t>='VBCCD BldgTypes'!$K$4:$K$14</t>
  </si>
  <si>
    <t>Future Updates'!ReviewProcess</t>
  </si>
  <si>
    <t>ReviewProcess</t>
  </si>
  <si>
    <t>='VBCCD BldgTypes'!$S$4:$S$14</t>
  </si>
  <si>
    <t>Future Updates'!Schematics</t>
  </si>
  <si>
    <t>Schematics</t>
  </si>
  <si>
    <t>Future Updates'!SecConsult</t>
  </si>
  <si>
    <t>SecConsult</t>
  </si>
  <si>
    <t>Future Updates'!SelectAE</t>
  </si>
  <si>
    <t>SelectAE</t>
  </si>
  <si>
    <t>Type 2 Comps'!SF_CMMultiplier</t>
  </si>
  <si>
    <t>=tbl_ProjectTypes_SF_CM[SF_CM Application]</t>
  </si>
  <si>
    <t>Type 3 Comps'!SF_CMMultiplier</t>
  </si>
  <si>
    <t>SF_CMMultiplier</t>
  </si>
  <si>
    <t>Future Updates'!SiteArray</t>
  </si>
  <si>
    <t>SiteArray</t>
  </si>
  <si>
    <t>Future Updates'!SitePercent</t>
  </si>
  <si>
    <t>SitePercent</t>
  </si>
  <si>
    <t>Future Updates'!SiteType</t>
  </si>
  <si>
    <t>SiteType</t>
  </si>
  <si>
    <t>Future Updates'!StoneSF</t>
  </si>
  <si>
    <t>StoneSF</t>
  </si>
  <si>
    <t>STUDENT_CENTERS</t>
  </si>
  <si>
    <t>='VBCCD BldgTypes'!$T$4:$T$14</t>
  </si>
  <si>
    <t>Future Updates'!SurveyAc</t>
  </si>
  <si>
    <t>SurveyAc</t>
  </si>
  <si>
    <t>Future Updates'!tbl_Blender_PW</t>
  </si>
  <si>
    <t>tbl_Blender_PW</t>
  </si>
  <si>
    <t>TenMillion</t>
  </si>
  <si>
    <t>=10000000</t>
  </si>
  <si>
    <t>='VBCCD BldgTypes'!$U$4:$U$14</t>
  </si>
  <si>
    <t>ThreeMillion</t>
  </si>
  <si>
    <t>=3000000</t>
  </si>
  <si>
    <t>Future Updates'!TotalSite</t>
  </si>
  <si>
    <t>TotalSite</t>
  </si>
  <si>
    <t>TwentyK</t>
  </si>
  <si>
    <t>=20000</t>
  </si>
  <si>
    <t>TwentyMillion</t>
  </si>
  <si>
    <t>=20000000</t>
  </si>
  <si>
    <t>Future Updates'!TypePrePlan</t>
  </si>
  <si>
    <t>TypePrePlan</t>
  </si>
  <si>
    <t>Future Updates'!TypeSurvey</t>
  </si>
  <si>
    <t>TypeSurvey</t>
  </si>
  <si>
    <t>UNIVERSITY_WELCOME_CENTERS</t>
  </si>
  <si>
    <t>='VBCCD BldgTypes'!$W$4:$W$14</t>
  </si>
  <si>
    <t>Future Updates'!UtilUseage</t>
  </si>
  <si>
    <t>UtilUseage</t>
  </si>
  <si>
    <t>WET_LABS_Chemistry_Buildings__Biology_Buildings</t>
  </si>
  <si>
    <t>='VBCCD BldgTypes'!$J$4:$J$14</t>
  </si>
  <si>
    <t>Future Updates'!Working</t>
  </si>
  <si>
    <t>Working</t>
  </si>
  <si>
    <t>Instructions:</t>
  </si>
  <si>
    <t>Data entry cells:</t>
  </si>
  <si>
    <t>Pull down cells:</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</si>
  <si>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</si>
  <si>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General information:
 - Open field data entry cells are light yellow.
 - Pull-downs are gray. 
 - Links are 3-D
</t>
  </si>
  <si>
    <t>Additional information per tab (not in order as viewed in the CR-1):</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</si>
  <si>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</si>
  <si>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</si>
  <si>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</si>
  <si>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</si>
  <si>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</si>
  <si>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</si>
  <si>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</si>
  <si>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</si>
  <si>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</si>
  <si>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</si>
  <si>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As noted above, the Blender accommodates three different building types.  Each of these three building types are identified with the following tabs:</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</si>
  <si>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</si>
  <si>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</si>
  <si>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</si>
  <si>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</si>
  <si>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</si>
  <si>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</si>
  <si>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</si>
  <si>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</si>
  <si>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Cost guidance - See DEB Newsletter #53 - May 2019 &gt;</t>
  </si>
  <si>
    <t>CR-1 Cost Calculation Guidance &gt;</t>
  </si>
  <si>
    <t>PROJECT PLANNER FLOW CHART</t>
  </si>
  <si>
    <t>Date</t>
  </si>
  <si>
    <t>Tab</t>
  </si>
  <si>
    <t>Status</t>
  </si>
  <si>
    <t>Frequency</t>
  </si>
  <si>
    <t>CR-1 UPDATE LOG</t>
  </si>
  <si>
    <t>INDEX</t>
  </si>
  <si>
    <t>(latest on top)</t>
  </si>
  <si>
    <t>DATE</t>
  </si>
  <si>
    <t>NEW VERSION #</t>
  </si>
  <si>
    <t>CHANGES MADE</t>
  </si>
  <si>
    <t>Changes By</t>
  </si>
  <si>
    <t>TABS AFFECTED</t>
  </si>
  <si>
    <t>COMMENTS</t>
  </si>
  <si>
    <t>30-199_2026-06-04</t>
  </si>
  <si>
    <t>Updated the Table 2 on P-Overview tab, cells U48 &amp; U49. Replaced erroneous static values with formulas.</t>
  </si>
  <si>
    <t>30-199_May2026</t>
  </si>
  <si>
    <t>Updated the VBCCD Table</t>
  </si>
  <si>
    <t>Anoop Kaul</t>
  </si>
  <si>
    <t>VBCCD tabs
Comps Type1, 2, &amp; 3</t>
  </si>
  <si>
    <t>Update every year after VBCCD update.</t>
  </si>
  <si>
    <t>HCI updated for 2026
Escalation updated for 2026.</t>
  </si>
  <si>
    <t>Narrative
Escalation
HCI
Dependent calculations in other tabs</t>
  </si>
  <si>
    <t>Update periodically</t>
  </si>
  <si>
    <t>30-199_March 2025</t>
  </si>
  <si>
    <t>HCI updated for 2025</t>
  </si>
  <si>
    <t>HCI and dependent calculations</t>
  </si>
  <si>
    <t>Escalation Percentage reviewed and year revised</t>
  </si>
  <si>
    <t>Update yearly and also after Escalation Meeting</t>
  </si>
  <si>
    <t>30-199_July 2025</t>
  </si>
  <si>
    <t>Revised %ages for Inflation, Wage and Tariff impacts</t>
  </si>
  <si>
    <t>Overview, Budget &amp; Escalation</t>
  </si>
  <si>
    <t>FF&amp;E Included or Excluded</t>
  </si>
  <si>
    <t>2008 Chapter 1</t>
  </si>
  <si>
    <t>Excluded</t>
  </si>
  <si>
    <t>2011 Chapter 890</t>
  </si>
  <si>
    <t>Included</t>
  </si>
  <si>
    <t>2012 Chapter 3</t>
  </si>
  <si>
    <t>2013 Chapter 806</t>
  </si>
  <si>
    <t>2014 Chapter 1 Caboose</t>
  </si>
  <si>
    <t>2014 Chapter 2</t>
  </si>
  <si>
    <t>2015 Chapter 665</t>
  </si>
  <si>
    <t>2016 Chapter 759/769</t>
  </si>
  <si>
    <t>2017 Chapter 836</t>
  </si>
  <si>
    <t>DPB actually put the funds in the Chapter 3 Pool.</t>
  </si>
  <si>
    <t>2018 Chapter 2</t>
  </si>
  <si>
    <t>2019 Chapter 854</t>
  </si>
  <si>
    <t>2020 Chapter 1289</t>
  </si>
  <si>
    <t>2021 Chapter 552</t>
  </si>
  <si>
    <t>2022 Chapter 2</t>
  </si>
  <si>
    <t>2023 Chapter 1</t>
  </si>
  <si>
    <t>2024 Chapter 2</t>
  </si>
  <si>
    <t>2025 Chapter 725</t>
  </si>
  <si>
    <t>Future Pool</t>
  </si>
  <si>
    <t>TBD</t>
  </si>
  <si>
    <t>001 - Accomack Co.</t>
  </si>
  <si>
    <t>ACCESS CARD</t>
  </si>
  <si>
    <t>003 - Albemarle Co.</t>
  </si>
  <si>
    <t>ACCESSIBILITY IMPROVEMENT</t>
  </si>
  <si>
    <t>510 - Alexandria, City Of</t>
  </si>
  <si>
    <t>ACQUISITION</t>
  </si>
  <si>
    <t>005 - Alleghany Co.</t>
  </si>
  <si>
    <t>AGRICULTURAL</t>
  </si>
  <si>
    <t>007 - Amelia Co.</t>
  </si>
  <si>
    <t>AIRPORT</t>
  </si>
  <si>
    <t>009 - Amherst Co.</t>
  </si>
  <si>
    <t>011 - Appomattox Co.</t>
  </si>
  <si>
    <t>013 - Arlington Co.</t>
  </si>
  <si>
    <t>ARENA</t>
  </si>
  <si>
    <t>015 - Augusta Co.</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</si>
  <si>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</si>
  <si>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</si>
  <si>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</si>
  <si>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</si>
  <si>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</si>
  <si>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</si>
  <si>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</si>
  <si>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</si>
  <si>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</si>
  <si>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</si>
  <si>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</si>
  <si>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</si>
  <si>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</si>
  <si>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</si>
  <si>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</si>
  <si>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</si>
  <si>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</si>
  <si>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</si>
  <si>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</si>
  <si>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</si>
  <si>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</si>
  <si>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</si>
  <si>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</si>
  <si>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</si>
  <si>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</si>
  <si>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</si>
  <si>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</si>
  <si>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037 - Charlotte Co.</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</si>
  <si>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</si>
  <si>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</si>
  <si>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</si>
  <si>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</si>
  <si>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</si>
  <si>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</si>
  <si>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</si>
  <si>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</si>
  <si>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</si>
  <si>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</si>
  <si>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</si>
  <si>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</si>
  <si>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</si>
  <si>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</si>
  <si>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</si>
  <si>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</si>
  <si>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</si>
  <si>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</si>
  <si>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</si>
  <si>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</si>
  <si>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</si>
  <si>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</si>
  <si>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</si>
  <si>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</si>
  <si>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</si>
  <si>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595 - Emporia, City Of</t>
  </si>
  <si>
    <t>DAM SAFETY</t>
  </si>
  <si>
    <t>057 - Essex Co.</t>
  </si>
  <si>
    <t>DATA/TELECOMMUNICATIONS</t>
  </si>
  <si>
    <t>059 - Fairfax Co.</t>
  </si>
  <si>
    <t>600 - Fairfax, City Of</t>
  </si>
  <si>
    <t>DINING</t>
  </si>
  <si>
    <t>610 - Falls Church, City Of</t>
  </si>
  <si>
    <t>061 - Fauquier Co.</t>
  </si>
  <si>
    <t>063 - Floyd Co.</t>
  </si>
  <si>
    <t>DORMITORY/DINING</t>
  </si>
  <si>
    <t>065 - Fluvanna Co.</t>
  </si>
  <si>
    <t>067 - Franklin Co.</t>
  </si>
  <si>
    <t>620 - Franklin, City Of</t>
  </si>
  <si>
    <t>EMERGENCY GENERATORS</t>
  </si>
  <si>
    <t>069 - Frederick Co.</t>
  </si>
  <si>
    <t>630 - Fredericksburg, City Of</t>
  </si>
  <si>
    <t>640 - Galax, City Of</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</si>
  <si>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</si>
  <si>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</si>
  <si>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</si>
  <si>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</si>
  <si>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</si>
  <si>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</si>
  <si>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</si>
  <si>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</si>
  <si>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</si>
  <si>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</si>
  <si>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</si>
  <si>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</si>
  <si>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</si>
  <si>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650 - Hampton, City Of</t>
  </si>
  <si>
    <t>FIRE STATION</t>
  </si>
  <si>
    <t>085 - Hanover Co.</t>
  </si>
  <si>
    <t>FISHING PIER</t>
  </si>
  <si>
    <t>660 - Harrisonburg, City Of</t>
  </si>
  <si>
    <t>FITNESS CENTER</t>
  </si>
  <si>
    <t>087 - Henrico Co.</t>
  </si>
  <si>
    <t>089 - Henry Co.</t>
  </si>
  <si>
    <t>FOOD SERVICES</t>
  </si>
  <si>
    <t>091 - Highland Co.</t>
  </si>
  <si>
    <t>FOOT BRIDGE</t>
  </si>
  <si>
    <t>670 - Hopewell, City Of</t>
  </si>
  <si>
    <t>093 - Isle Of Wight Co.</t>
  </si>
  <si>
    <t>095 - James City Co.</t>
  </si>
  <si>
    <t>097 - King And Queen Co.</t>
  </si>
  <si>
    <t>GYM</t>
  </si>
  <si>
    <t>099 - King George Co.</t>
  </si>
  <si>
    <t>101 - King William Co.</t>
  </si>
  <si>
    <t>HOSPITAL</t>
  </si>
  <si>
    <t>103 - Lancaster Co.</t>
  </si>
  <si>
    <t>HOTEL</t>
  </si>
  <si>
    <t>105 - Lee Co.</t>
  </si>
  <si>
    <t>678 - Lexington, City Of</t>
  </si>
  <si>
    <t>JUVENILE FACILITIES</t>
  </si>
  <si>
    <t>107 - Loudoun Co.</t>
  </si>
  <si>
    <t>109 - Louisa Co.</t>
  </si>
  <si>
    <t>LABORATORY/CLASSROOM</t>
  </si>
  <si>
    <t>111 - Lunenburg Co.</t>
  </si>
  <si>
    <t>LIBRARY</t>
  </si>
  <si>
    <t>680 - Lynchburg, City Of</t>
  </si>
  <si>
    <t>LIBRARY/STUDENT CENTER</t>
  </si>
  <si>
    <t>113 - Madison Co.</t>
  </si>
  <si>
    <t>LIFE SAFETY/FIRE SAFETY</t>
  </si>
  <si>
    <t>685 - Manassas Park, City Of</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</si>
  <si>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</si>
  <si>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</si>
  <si>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</si>
  <si>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</si>
  <si>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</si>
  <si>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</si>
  <si>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</si>
  <si>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</si>
  <si>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</si>
  <si>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</si>
  <si>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</si>
  <si>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</si>
  <si>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</si>
  <si>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</si>
  <si>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</si>
  <si>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</si>
  <si>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</si>
  <si>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</si>
  <si>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</si>
  <si>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</si>
  <si>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</si>
  <si>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</si>
  <si>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</si>
  <si>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</si>
  <si>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</si>
  <si>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</si>
  <si>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</si>
  <si>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</si>
  <si>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</si>
  <si>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</si>
  <si>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</si>
  <si>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</si>
  <si>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</si>
  <si>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</si>
  <si>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</si>
  <si>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</si>
  <si>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</si>
  <si>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</si>
  <si>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</si>
  <si>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</si>
  <si>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</si>
  <si>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</si>
  <si>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</si>
  <si>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</si>
  <si>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</si>
  <si>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</si>
  <si>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</si>
  <si>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</si>
  <si>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</si>
  <si>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</si>
  <si>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</si>
  <si>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</si>
  <si>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</si>
  <si>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</si>
  <si>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</si>
  <si>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</si>
  <si>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</si>
  <si>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</si>
  <si>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</si>
  <si>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</si>
  <si>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</si>
  <si>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</si>
  <si>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</si>
  <si>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</si>
  <si>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</si>
  <si>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</si>
  <si>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</si>
  <si>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</si>
  <si>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</si>
  <si>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</si>
  <si>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</si>
  <si>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</si>
  <si>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</si>
  <si>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</si>
  <si>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</si>
  <si>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</si>
  <si>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</si>
  <si>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</si>
  <si>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</si>
  <si>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</si>
  <si>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</si>
  <si>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</si>
  <si>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</si>
  <si>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</si>
  <si>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</si>
  <si>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</si>
  <si>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</si>
  <si>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</si>
  <si>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</si>
  <si>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</si>
  <si>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</si>
  <si>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</si>
  <si>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</si>
  <si>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</si>
  <si>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</si>
  <si>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</si>
  <si>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</si>
  <si>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</si>
  <si>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</si>
  <si>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</si>
  <si>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</si>
  <si>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</si>
  <si>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</si>
  <si>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</si>
  <si>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</si>
  <si>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</si>
  <si>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</si>
  <si>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</si>
  <si>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</si>
  <si>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</si>
  <si>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</si>
  <si>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197 - Wythe Co.</t>
  </si>
  <si>
    <t>199 - York Co.</t>
  </si>
  <si>
    <t>SCULPTURE</t>
  </si>
  <si>
    <t>999 - Unknown Or Multiple Locations</t>
  </si>
  <si>
    <t>SECURITY ACCESS</t>
  </si>
  <si>
    <t>SECURITY FENCE</t>
  </si>
  <si>
    <t>SITE IMPROVEMENTS</t>
  </si>
  <si>
    <t>SITEWORK</t>
  </si>
  <si>
    <t>STAIRS</t>
  </si>
  <si>
    <t>STEAM TUNNEL</t>
  </si>
  <si>
    <t>STORAGE BUILDING</t>
  </si>
  <si>
    <t>STRUCTURAL</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</si>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</sst>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0.0"/>
    <numFmt numFmtId="170" formatCode="_(&quot;$&quot;* #,##0_);_(&quot;$&quot;* \(#,##0\);_(&quot;$&quot;* &quot;-&quot;??_);_(@_)"/>
    <numFmt numFmtId="171" formatCode="&quot;$&quot;#,##0\ ;\(&quot;$&quot;#,##0\)"/>
    <numFmt numFmtId="172" formatCode="0.0000"/>
    <numFmt numFmtId="173" formatCode="0.000"/>
    <numFmt numFmtId="174" formatCode="_(* #,##0_);_(* \(#,##0\);_(* &quot;-&quot;??_);_(@_)"/>
    <numFmt numFmtId="175" formatCode="&quot;Annual Inflation Rate &quot;\ ####\ &quot;and Beyond&quot;"/>
    <numFmt numFmtId="176" formatCode="&quot;Tariff Impact Premium&quot;\ ####\ &quot;and Beyond&quot;"/>
    <numFmt numFmtId="177" formatCode="&quot;Tariff Impact Premium &quot;\ ####\ "/>
    <numFmt numFmtId="178" formatCode="&quot;Wage Rate Impact Premium &quot;\ ####\ "/>
    <numFmt numFmtId="179" formatCode="&quot;Wage Rate Impact Premium&quot;\ ####\ &quot;and Beyond&quot;"/>
    <numFmt numFmtId="180" formatCode="&quot;Geo-Political Spike Premium &quot;\ ####\ "/>
    <numFmt numFmtId="181" formatCode="####\ &quot;&amp; beyond&quot;"/>
    <numFmt numFmtId="182" formatCode="&quot;Geo-Political Spike Premium &quot;\ ####\ &quot;&amp; beyond&quot;"/>
    <numFmt numFmtId="183" formatCode="&quot;Document Issued: &quot;m/d/yyyy"/>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
      <sz val="10"/>
      <name val="Arial"/>
      <family val="2"/>
    </font>
    <font>
      <sz val="11"/>
      <name val="Calibri"/>
      <family val="2"/>
      <scheme val="minor"/>
    </font>
    <font>
      <b/>
      <u/>
      <sz val="12"/>
      <color indexed="12"/>
      <name val="Arial"/>
      <family val="2"/>
    </font>
    <font>
      <b/>
      <sz val="22"/>
      <name val="Arial"/>
      <family val="2"/>
    </font>
    <font>
      <b/>
      <sz val="18"/>
      <color theme="0"/>
      <name val="Arial"/>
      <family val="2"/>
    </font>
    <font>
      <b/>
      <sz val="12"/>
      <color rgb="FFCC66FF"/>
      <name val="Arial"/>
      <family val="2"/>
    </font>
    <font>
      <b/>
      <sz val="7.5"/>
      <name val="Arial"/>
      <family val="2"/>
    </font>
    <font>
      <b/>
      <sz val="8"/>
      <name val="Arial"/>
      <family val="2"/>
    </font>
    <font>
      <b/>
      <sz val="10"/>
      <color indexed="10"/>
      <name val="Arial"/>
      <family val="2"/>
    </font>
    <font>
      <b/>
      <sz val="7.5"/>
      <color theme="0"/>
      <name val="Arial"/>
      <family val="2"/>
    </font>
    <font>
      <sz val="12"/>
      <color theme="0"/>
      <name val="Arial"/>
      <family val="2"/>
    </font>
    <font>
      <b/>
      <sz val="18"/>
      <color rgb="FFFF0000"/>
      <name val="Arial"/>
      <family val="2"/>
    </font>
    <font>
      <b/>
      <u/>
      <sz val="10"/>
      <color indexed="12"/>
      <name val="Arial"/>
      <family val="2"/>
    </font>
    <font>
      <sz val="16"/>
      <name val="Arial"/>
      <family val="2"/>
    </font>
    <font>
      <sz val="10"/>
      <color rgb="FFFF0000"/>
      <name val="Arial"/>
      <family val="2"/>
    </font>
    <font>
      <b/>
      <sz val="8"/>
      <color indexed="81"/>
      <name val="Tahoma"/>
      <family val="2"/>
    </font>
    <font>
      <b/>
      <sz val="12"/>
      <name val="Aptos"/>
      <family val="2"/>
    </font>
    <font>
      <b/>
      <sz val="14"/>
      <color rgb="FFFFFFFF"/>
      <name val="Aptos"/>
      <family val="2"/>
    </font>
    <font>
      <sz val="11"/>
      <name val="Aptos"/>
      <family val="2"/>
    </font>
    <font>
      <sz val="11"/>
      <color rgb="FF000000"/>
      <name val="Aptos"/>
      <family val="2"/>
    </font>
    <font>
      <b/>
      <sz val="12"/>
      <color rgb="FF000000"/>
      <name val="Aptos"/>
      <family val="2"/>
    </font>
    <font>
      <b/>
      <sz val="12"/>
      <color rgb="FFA02B93"/>
      <name val="Aptos"/>
      <family val="2"/>
    </font>
    <font>
      <sz val="12"/>
      <color rgb="FF000000"/>
      <name val="Aptos"/>
      <family val="2"/>
    </font>
    <font>
      <b/>
      <sz val="11"/>
      <color rgb="FF000000"/>
      <name val="Aptos"/>
      <family val="2"/>
    </font>
    <font>
      <sz val="10"/>
      <color theme="0"/>
      <name val="Arial"/>
      <family val="2"/>
    </font>
    <font>
      <b/>
      <sz val="11"/>
      <color theme="0"/>
      <name val="Calibri"/>
      <family val="2"/>
      <scheme val="minor"/>
    </font>
    <font>
      <sz val="11"/>
      <color theme="0"/>
      <name val="Calibri"/>
      <family val="2"/>
      <scheme val="minor"/>
    </font>
    <font>
      <b/>
      <sz val="12"/>
      <color theme="0"/>
      <name val="Aptos"/>
      <family val="2"/>
    </font>
    <font>
      <b/>
      <sz val="11"/>
      <color rgb="FF00B050"/>
      <name val="Aptos"/>
      <family val="2"/>
    </font>
    <font>
      <b/>
      <sz val="11"/>
      <color theme="5"/>
      <name val="Aptos"/>
      <family val="2"/>
    </font>
    <font>
      <b/>
      <sz val="11"/>
      <color rgb="FF0000CC"/>
      <name val="Aptos"/>
      <family val="2"/>
    </font>
    <font>
      <b/>
      <sz val="11"/>
      <name val="Aptos"/>
      <family val="2"/>
    </font>
    <font>
      <sz val="14"/>
      <color rgb="FFFF0000"/>
      <name val="Arial"/>
      <family val="2"/>
    </font>
    <font>
      <b/>
      <sz val="16"/>
      <color indexed="9"/>
      <name val="Arial"/>
      <family val="2"/>
    </font>
    <font>
      <b/>
      <sz val="24"/>
      <color indexed="9"/>
      <name val="Arial"/>
      <family val="2"/>
    </font>
    <font>
      <b/>
      <sz val="28"/>
      <color indexed="9"/>
      <name val="Arial"/>
      <family val="2"/>
    </font>
    <font>
      <b/>
      <sz val="22"/>
      <color indexed="9"/>
      <name val="Arial"/>
      <family val="2"/>
    </font>
    <font>
      <b/>
      <u/>
      <sz val="16"/>
      <color indexed="12"/>
      <name val="Arial"/>
      <family val="2"/>
    </font>
    <font>
      <b/>
      <u/>
      <sz val="16"/>
      <color rgb="FFFF0000"/>
      <name val="Arial"/>
      <family val="2"/>
    </font>
    <font>
      <b/>
      <sz val="16"/>
      <color rgb="FFFF0000"/>
      <name val="Arial"/>
      <family val="2"/>
    </font>
    <font>
      <b/>
      <sz val="12"/>
      <color indexed="9"/>
      <name val="Arial"/>
      <family val="2"/>
    </font>
    <font>
      <b/>
      <sz val="20"/>
      <color rgb="FFC00000"/>
      <name val="Arial"/>
      <family val="2"/>
    </font>
    <font>
      <b/>
      <sz val="16"/>
      <color indexed="12"/>
      <name val="Arial"/>
      <family val="2"/>
    </font>
    <font>
      <b/>
      <sz val="12"/>
      <color indexed="12"/>
      <name val="Arial"/>
      <family val="2"/>
    </font>
    <font>
      <sz val="16"/>
      <color indexed="9"/>
      <name val="Arial"/>
      <family val="2"/>
    </font>
    <font>
      <b/>
      <sz val="12"/>
      <color theme="7" tint="-0.249977111117893"/>
      <name val="Arial"/>
      <family val="2"/>
    </font>
    <font>
      <b/>
      <sz val="16"/>
      <color theme="7"/>
      <name val="Arial"/>
      <family val="2"/>
    </font>
    <font>
      <b/>
      <u/>
      <sz val="16"/>
      <color indexed="9"/>
      <name val="Arial"/>
      <family val="2"/>
    </font>
    <font>
      <sz val="12"/>
      <color theme="7"/>
      <name val="Arial"/>
      <family val="2"/>
    </font>
    <font>
      <b/>
      <sz val="12"/>
      <color theme="7"/>
      <name val="Arial"/>
      <family val="2"/>
    </font>
    <font>
      <b/>
      <sz val="16"/>
      <color indexed="10"/>
      <name val="Arial"/>
      <family val="2"/>
    </font>
    <font>
      <b/>
      <sz val="14"/>
      <color indexed="81"/>
      <name val="Tahoma"/>
      <family val="2"/>
    </font>
    <font>
      <b/>
      <sz val="9"/>
      <color theme="1"/>
      <name val="Arial"/>
      <family val="2"/>
    </font>
  </fonts>
  <fills count="7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patternFill patternType="solid">
        <fgColor theme="8"/>
        <bgColor indexed="64"/>
      </patternFill>
    </fill>
    <fill>
      <patternFill patternType="solid">
        <fgColor rgb="FFC00000"/>
        <bgColor theme="7"/>
      </patternFill>
    </fill>
    <fill>
      <patternFill patternType="solid">
        <fgColor rgb="FF6600FF"/>
        <bgColor theme="7"/>
      </patternFill>
    </fill>
    <fill>
      <patternFill patternType="solid">
        <fgColor theme="5" tint="-0.499984740745262"/>
        <bgColor theme="7"/>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0"/>
        <bgColor indexed="64"/>
      </patternFill>
    </fill>
    <fill>
      <patternFill patternType="solid">
        <fgColor theme="4" tint="-0.499984740745262"/>
        <bgColor theme="4"/>
      </patternFill>
    </fill>
    <fill>
      <patternFill patternType="solid">
        <fgColor theme="0" tint="-0.499984740745262"/>
        <bgColor indexed="64"/>
      </patternFill>
    </fill>
    <fill>
      <gradientFill type="path" left="0.5" right="0.5" top="0.5" bottom="0.5">
        <stop position="0">
          <color theme="0"/>
        </stop>
        <stop position="1">
          <color rgb="FFFFFF00"/>
        </stop>
      </gradientFill>
    </fill>
    <fill>
      <patternFill patternType="solid">
        <fgColor rgb="FFCC99FF"/>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rgb="FFF2F2F2"/>
        <bgColor indexed="64"/>
      </patternFill>
    </fill>
    <fill>
      <patternFill patternType="solid">
        <fgColor rgb="FFE8E8E8"/>
        <bgColor indexed="64"/>
      </patternFill>
    </fill>
    <fill>
      <patternFill patternType="solid">
        <fgColor rgb="FF000000"/>
        <bgColor indexed="64"/>
      </patternFill>
    </fill>
    <fill>
      <patternFill patternType="solid">
        <fgColor theme="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00B050"/>
        <bgColor indexed="64"/>
      </patternFill>
    </fill>
    <fill>
      <gradientFill degree="45">
        <stop position="0">
          <color theme="0"/>
        </stop>
        <stop position="1">
          <color rgb="FF00B050"/>
        </stop>
      </gradientFill>
    </fill>
    <fill>
      <patternFill patternType="solid">
        <fgColor indexed="8"/>
        <bgColor indexed="64"/>
      </patternFill>
    </fill>
    <fill>
      <patternFill patternType="solid">
        <fgColor indexed="48"/>
        <bgColor indexed="64"/>
      </patternFill>
    </fill>
    <fill>
      <patternFill patternType="solid">
        <fgColor indexed="55"/>
        <bgColor indexed="64"/>
      </patternFill>
    </fill>
    <fill>
      <patternFill patternType="solid">
        <fgColor theme="0" tint="-0.34998626667073579"/>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1"/>
        <bgColor indexed="64"/>
      </patternFill>
    </fill>
    <fill>
      <patternFill patternType="solid">
        <fgColor indexed="10"/>
        <bgColor indexed="64"/>
      </patternFill>
    </fill>
    <fill>
      <patternFill patternType="solid">
        <fgColor theme="4" tint="0.79998168889431442"/>
        <bgColor theme="4" tint="0.79998168889431442"/>
      </patternFill>
    </fill>
    <fill>
      <patternFill patternType="solid">
        <fgColor theme="5" tint="0.59999389629810485"/>
        <bgColor theme="4" tint="0.79998168889431442"/>
      </patternFill>
    </fill>
    <fill>
      <patternFill patternType="solid">
        <fgColor theme="9" tint="0.59999389629810485"/>
        <bgColor indexed="64"/>
      </patternFill>
    </fill>
  </fills>
  <borders count="170">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medium">
        <color indexed="64"/>
      </right>
      <top style="thin">
        <color theme="0" tint="-0.14993743705557422"/>
      </top>
      <bottom style="thin">
        <color theme="0" tint="-0.14990691854609822"/>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double">
        <color rgb="FFFF00FF"/>
      </left>
      <right/>
      <top style="double">
        <color rgb="FFFF00FF"/>
      </top>
      <bottom/>
      <diagonal/>
    </border>
    <border>
      <left/>
      <right style="double">
        <color rgb="FFFF00FF"/>
      </right>
      <top style="double">
        <color rgb="FFFF00FF"/>
      </top>
      <bottom/>
      <diagonal/>
    </border>
    <border>
      <left style="double">
        <color rgb="FFFF00FF"/>
      </left>
      <right/>
      <top/>
      <bottom/>
      <diagonal/>
    </border>
    <border>
      <left/>
      <right style="double">
        <color rgb="FFFF00FF"/>
      </right>
      <top/>
      <bottom/>
      <diagonal/>
    </border>
    <border>
      <left style="double">
        <color rgb="FFFF00FF"/>
      </left>
      <right/>
      <top/>
      <bottom style="double">
        <color rgb="FFFF00FF"/>
      </bottom>
      <diagonal/>
    </border>
    <border>
      <left/>
      <right style="double">
        <color rgb="FFFF00FF"/>
      </right>
      <top/>
      <bottom style="double">
        <color rgb="FFFF00FF"/>
      </bottom>
      <diagonal/>
    </border>
    <border>
      <left/>
      <right/>
      <top style="double">
        <color rgb="FFFF00FF"/>
      </top>
      <bottom/>
      <diagonal/>
    </border>
    <border>
      <left/>
      <right/>
      <top/>
      <bottom style="double">
        <color rgb="FFFF00FF"/>
      </bottom>
      <diagonal/>
    </border>
    <border>
      <left style="thin">
        <color auto="1"/>
      </left>
      <right style="thick">
        <color auto="1"/>
      </right>
      <top/>
      <bottom style="thick">
        <color auto="1"/>
      </bottom>
      <diagonal/>
    </border>
    <border>
      <left style="thin">
        <color auto="1"/>
      </left>
      <right style="double">
        <color auto="1"/>
      </right>
      <top style="thick">
        <color auto="1"/>
      </top>
      <bottom style="medium">
        <color auto="1"/>
      </bottom>
      <diagonal/>
    </border>
    <border>
      <left style="double">
        <color auto="1"/>
      </left>
      <right style="thin">
        <color auto="1"/>
      </right>
      <top style="thick">
        <color auto="1"/>
      </top>
      <bottom style="medium">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double">
        <color auto="1"/>
      </right>
      <top/>
      <bottom/>
      <diagonal/>
    </border>
    <border>
      <left style="thin">
        <color auto="1"/>
      </left>
      <right style="double">
        <color auto="1"/>
      </right>
      <top/>
      <bottom style="thick">
        <color auto="1"/>
      </bottom>
      <diagonal/>
    </border>
    <border>
      <left/>
      <right style="thick">
        <color auto="1"/>
      </right>
      <top style="thick">
        <color auto="1"/>
      </top>
      <bottom/>
      <diagonal/>
    </border>
    <border>
      <left style="thin">
        <color auto="1"/>
      </left>
      <right style="thick">
        <color auto="1"/>
      </right>
      <top/>
      <bottom style="thin">
        <color auto="1"/>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auto="1"/>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auto="1"/>
      </bottom>
      <diagonal/>
    </border>
    <border>
      <left style="thin">
        <color theme="8" tint="0.79998168889431442"/>
      </left>
      <right style="thin">
        <color auto="1"/>
      </right>
      <top style="thin">
        <color theme="8" tint="0.79998168889431442"/>
      </top>
      <bottom style="thin">
        <color auto="1"/>
      </bottom>
      <diagonal/>
    </border>
    <border>
      <left style="thick">
        <color rgb="FF0000CC"/>
      </left>
      <right style="thin">
        <color rgb="FF0000CC"/>
      </right>
      <top style="thick">
        <color rgb="FF0000CC"/>
      </top>
      <bottom style="thick">
        <color rgb="FF0000CC"/>
      </bottom>
      <diagonal/>
    </border>
    <border>
      <left style="thin">
        <color rgb="FF0000CC"/>
      </left>
      <right style="thin">
        <color rgb="FF0000CC"/>
      </right>
      <top style="thick">
        <color rgb="FF0000CC"/>
      </top>
      <bottom style="thick">
        <color rgb="FF0000CC"/>
      </bottom>
      <diagonal/>
    </border>
    <border>
      <left style="thin">
        <color rgb="FF0000CC"/>
      </left>
      <right style="thick">
        <color rgb="FF0000CC"/>
      </right>
      <top style="thick">
        <color rgb="FF0000CC"/>
      </top>
      <bottom style="thick">
        <color rgb="FF0000CC"/>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22"/>
      </right>
      <top style="medium">
        <color indexed="64"/>
      </top>
      <bottom/>
      <diagonal/>
    </border>
    <border>
      <left style="thin">
        <color indexed="22"/>
      </left>
      <right style="thin">
        <color indexed="22"/>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theme="6" tint="-0.499984740745262"/>
      </left>
      <right style="thick">
        <color theme="6" tint="-0.499984740745262"/>
      </right>
      <top style="thick">
        <color theme="6" tint="-0.499984740745262"/>
      </top>
      <bottom/>
      <diagonal/>
    </border>
    <border>
      <left style="thick">
        <color theme="6" tint="-0.499984740745262"/>
      </left>
      <right style="thick">
        <color theme="6" tint="-0.499984740745262"/>
      </right>
      <top/>
      <bottom/>
      <diagonal/>
    </border>
    <border>
      <left style="thick">
        <color theme="6" tint="-0.499984740745262"/>
      </left>
      <right style="thick">
        <color theme="6" tint="-0.499984740745262"/>
      </right>
      <top/>
      <bottom style="thick">
        <color theme="6" tint="-0.499984740745262"/>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auto="1"/>
      </left>
      <right/>
      <top/>
      <bottom/>
      <diagonal/>
    </border>
    <border>
      <left/>
      <right/>
      <top style="thick">
        <color indexed="64"/>
      </top>
      <bottom/>
      <diagonal/>
    </border>
    <border>
      <left style="thick">
        <color auto="1"/>
      </left>
      <right/>
      <top style="thick">
        <color auto="1"/>
      </top>
      <bottom/>
      <diagonal/>
    </border>
    <border>
      <left/>
      <right style="thick">
        <color auto="1"/>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auto="1"/>
      </left>
      <right/>
      <top/>
      <bottom style="thick">
        <color auto="1"/>
      </bottom>
      <diagonal/>
    </border>
    <border>
      <left/>
      <right/>
      <top/>
      <bottom style="thick">
        <color indexed="64"/>
      </bottom>
      <diagonal/>
    </border>
    <border>
      <left/>
      <right style="thick">
        <color indexed="64"/>
      </right>
      <top/>
      <bottom style="thick">
        <color indexed="64"/>
      </bottom>
      <diagonal/>
    </border>
    <border>
      <left style="thick">
        <color auto="1"/>
      </left>
      <right/>
      <top style="thick">
        <color auto="1"/>
      </top>
      <bottom style="thin">
        <color indexed="64"/>
      </bottom>
      <diagonal/>
    </border>
    <border>
      <left/>
      <right/>
      <top style="thick">
        <color auto="1"/>
      </top>
      <bottom style="thin">
        <color indexed="64"/>
      </bottom>
      <diagonal/>
    </border>
    <border>
      <left/>
      <right style="thick">
        <color auto="1"/>
      </right>
      <top style="thick">
        <color auto="1"/>
      </top>
      <bottom style="thin">
        <color auto="1"/>
      </bottom>
      <diagonal/>
    </border>
    <border>
      <left style="thick">
        <color auto="1"/>
      </left>
      <right style="thin">
        <color indexed="64"/>
      </right>
      <top style="medium">
        <color indexed="64"/>
      </top>
      <bottom style="thick">
        <color auto="1"/>
      </bottom>
      <diagonal/>
    </border>
    <border>
      <left style="thin">
        <color indexed="64"/>
      </left>
      <right style="thin">
        <color indexed="64"/>
      </right>
      <top style="medium">
        <color indexed="64"/>
      </top>
      <bottom style="thick">
        <color auto="1"/>
      </bottom>
      <diagonal/>
    </border>
    <border>
      <left style="thin">
        <color indexed="64"/>
      </left>
      <right style="thick">
        <color auto="1"/>
      </right>
      <top style="medium">
        <color indexed="64"/>
      </top>
      <bottom style="thick">
        <color auto="1"/>
      </bottom>
      <diagonal/>
    </border>
    <border>
      <left style="thick">
        <color auto="1"/>
      </left>
      <right style="thin">
        <color indexed="64"/>
      </right>
      <top/>
      <bottom style="thin">
        <color indexed="64"/>
      </bottom>
      <diagonal/>
    </border>
    <border>
      <left style="thick">
        <color theme="5"/>
      </left>
      <right/>
      <top style="thick">
        <color theme="5"/>
      </top>
      <bottom/>
      <diagonal/>
    </border>
    <border>
      <left/>
      <right/>
      <top style="thick">
        <color theme="5"/>
      </top>
      <bottom/>
      <diagonal/>
    </border>
    <border>
      <left/>
      <right style="thick">
        <color theme="5"/>
      </right>
      <top style="thick">
        <color theme="5"/>
      </top>
      <bottom/>
      <diagonal/>
    </border>
    <border>
      <left/>
      <right/>
      <top style="thin">
        <color theme="4" tint="0.39997558519241921"/>
      </top>
      <bottom/>
      <diagonal/>
    </border>
    <border>
      <left style="thin">
        <color theme="7"/>
      </left>
      <right/>
      <top style="thick">
        <color theme="5"/>
      </top>
      <bottom/>
      <diagonal/>
    </border>
    <border>
      <left style="double">
        <color theme="0"/>
      </left>
      <right/>
      <top style="thick">
        <color theme="5"/>
      </top>
      <bottom/>
      <diagonal/>
    </border>
    <border>
      <left style="thick">
        <color theme="5"/>
      </left>
      <right/>
      <top style="thin">
        <color theme="4" tint="0.39997558519241921"/>
      </top>
      <bottom/>
      <diagonal/>
    </border>
    <border>
      <left/>
      <right style="thick">
        <color theme="5"/>
      </right>
      <top style="thin">
        <color theme="4" tint="0.39997558519241921"/>
      </top>
      <bottom/>
      <diagonal/>
    </border>
    <border>
      <left/>
      <right/>
      <top style="thin">
        <color auto="1"/>
      </top>
      <bottom/>
      <diagonal/>
    </border>
    <border>
      <left style="thick">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n">
        <color auto="1"/>
      </left>
      <right style="thin">
        <color theme="8" tint="0.79998168889431442"/>
      </right>
      <top style="thin">
        <color auto="1"/>
      </top>
      <bottom style="thin">
        <color theme="8" tint="0.79998168889431442"/>
      </bottom>
      <diagonal/>
    </border>
    <border>
      <left style="thin">
        <color theme="8" tint="0.79998168889431442"/>
      </left>
      <right style="thin">
        <color theme="8" tint="0.79998168889431442"/>
      </right>
      <top style="thin">
        <color auto="1"/>
      </top>
      <bottom style="thin">
        <color theme="8" tint="0.79998168889431442"/>
      </bottom>
      <diagonal/>
    </border>
    <border>
      <left style="thin">
        <color theme="8" tint="0.79998168889431442"/>
      </left>
      <right style="thin">
        <color auto="1"/>
      </right>
      <top style="thin">
        <color auto="1"/>
      </top>
      <bottom style="thin">
        <color theme="8" tint="0.79998168889431442"/>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double">
        <color auto="1"/>
      </left>
      <right style="thin">
        <color auto="1"/>
      </right>
      <top style="thin">
        <color auto="1"/>
      </top>
      <bottom style="thick">
        <color auto="1"/>
      </bottom>
      <diagonal/>
    </border>
    <border>
      <left style="medium">
        <color indexed="64"/>
      </left>
      <right style="medium">
        <color indexed="64"/>
      </right>
      <top style="thin">
        <color indexed="64"/>
      </top>
      <bottom style="medium">
        <color indexed="64"/>
      </bottom>
      <diagonal/>
    </border>
    <border>
      <left style="thick">
        <color auto="1"/>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style="thin">
        <color indexed="22"/>
      </top>
      <bottom/>
      <diagonal/>
    </border>
    <border>
      <left style="thin">
        <color indexed="22"/>
      </left>
      <right/>
      <top style="thin">
        <color indexed="2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double">
        <color auto="1"/>
      </right>
      <top style="thin">
        <color auto="1"/>
      </top>
      <bottom/>
      <diagonal/>
    </border>
    <border>
      <left/>
      <right style="thick">
        <color auto="1"/>
      </right>
      <top style="thin">
        <color indexed="64"/>
      </top>
      <bottom/>
      <diagonal/>
    </border>
  </borders>
  <cellStyleXfs count="119">
    <xf numFmtId="0" fontId="0" fillId="0" borderId="0"/>
    <xf numFmtId="44" fontId="9" fillId="0" borderId="0" applyFont="0" applyFill="0" applyBorder="0" applyAlignment="0" applyProtection="0"/>
    <xf numFmtId="0" fontId="20" fillId="0" borderId="0" applyNumberFormat="0" applyFill="0" applyBorder="0" applyAlignment="0" applyProtection="0">
      <alignment vertical="top"/>
      <protection locked="0"/>
    </xf>
    <xf numFmtId="0" fontId="14" fillId="0" borderId="0"/>
    <xf numFmtId="0" fontId="14" fillId="0" borderId="0"/>
    <xf numFmtId="0" fontId="14" fillId="0" borderId="0"/>
    <xf numFmtId="43" fontId="31" fillId="0" borderId="0" applyFont="0" applyFill="0" applyBorder="0" applyAlignment="0" applyProtection="0"/>
    <xf numFmtId="9" fontId="31" fillId="0" borderId="0" applyFont="0" applyFill="0" applyBorder="0" applyAlignment="0" applyProtection="0"/>
    <xf numFmtId="0" fontId="9" fillId="0" borderId="0"/>
    <xf numFmtId="0" fontId="9" fillId="0" borderId="0"/>
    <xf numFmtId="0" fontId="9" fillId="0" borderId="0"/>
    <xf numFmtId="0" fontId="8" fillId="12"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20" borderId="0" applyNumberFormat="0" applyBorder="0" applyAlignment="0" applyProtection="0"/>
    <xf numFmtId="0" fontId="8" fillId="22"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3" fontId="1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1" fontId="12" fillId="0" borderId="0" applyFont="0" applyFill="0" applyBorder="0" applyAlignment="0" applyProtection="0"/>
    <xf numFmtId="0" fontId="12" fillId="0" borderId="0" applyFont="0" applyFill="0" applyBorder="0" applyAlignment="0" applyProtection="0"/>
    <xf numFmtId="2" fontId="12" fillId="0" borderId="0" applyFon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9" fillId="0" borderId="0">
      <alignment wrapText="1"/>
    </xf>
    <xf numFmtId="0" fontId="8" fillId="0" borderId="0"/>
    <xf numFmtId="0" fontId="8" fillId="0" borderId="0"/>
    <xf numFmtId="0" fontId="12" fillId="0" borderId="0"/>
    <xf numFmtId="0" fontId="8" fillId="0" borderId="0"/>
    <xf numFmtId="0" fontId="9" fillId="0" borderId="0"/>
    <xf numFmtId="0" fontId="8" fillId="0" borderId="0"/>
    <xf numFmtId="0" fontId="8" fillId="11" borderId="29" applyNumberFormat="0" applyFont="0" applyAlignment="0" applyProtection="0"/>
    <xf numFmtId="0" fontId="8" fillId="11" borderId="29" applyNumberFormat="0" applyFont="0" applyAlignment="0" applyProtection="0"/>
    <xf numFmtId="9" fontId="9" fillId="0" borderId="0" applyFont="0" applyFill="0" applyBorder="0" applyAlignment="0" applyProtection="0"/>
    <xf numFmtId="0" fontId="28" fillId="0" borderId="30" applyNumberFormat="0" applyFill="0" applyAlignment="0" applyProtection="0"/>
    <xf numFmtId="0" fontId="7" fillId="0" borderId="0"/>
    <xf numFmtId="0" fontId="6" fillId="0" borderId="0"/>
    <xf numFmtId="9" fontId="51" fillId="0" borderId="0" applyFont="0" applyFill="0" applyBorder="0" applyAlignment="0" applyProtection="0"/>
    <xf numFmtId="43" fontId="56" fillId="0" borderId="0" applyFont="0" applyFill="0" applyBorder="0" applyAlignment="0" applyProtection="0"/>
    <xf numFmtId="0" fontId="5"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0" borderId="0"/>
    <xf numFmtId="0" fontId="4" fillId="0" borderId="0"/>
    <xf numFmtId="0" fontId="4" fillId="0" borderId="0"/>
    <xf numFmtId="0" fontId="4" fillId="0" borderId="0"/>
    <xf numFmtId="0" fontId="4" fillId="11" borderId="29" applyNumberFormat="0" applyFont="0" applyAlignment="0" applyProtection="0"/>
    <xf numFmtId="0" fontId="4" fillId="11" borderId="29" applyNumberFormat="0" applyFont="0" applyAlignment="0" applyProtection="0"/>
    <xf numFmtId="0" fontId="4" fillId="0" borderId="0"/>
    <xf numFmtId="0" fontId="4" fillId="0" borderId="0"/>
    <xf numFmtId="43" fontId="9" fillId="0" borderId="0" applyFont="0" applyFill="0" applyBorder="0" applyAlignment="0" applyProtection="0"/>
    <xf numFmtId="0" fontId="4" fillId="0" borderId="0"/>
    <xf numFmtId="0" fontId="3" fillId="0" borderId="0"/>
    <xf numFmtId="0" fontId="2" fillId="12"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0" borderId="0"/>
    <xf numFmtId="0" fontId="2" fillId="0" borderId="0"/>
    <xf numFmtId="0" fontId="2" fillId="0" borderId="0"/>
    <xf numFmtId="0" fontId="2" fillId="0" borderId="0"/>
    <xf numFmtId="0" fontId="2" fillId="11" borderId="29" applyNumberFormat="0" applyFont="0" applyAlignment="0" applyProtection="0"/>
    <xf numFmtId="0" fontId="2" fillId="11" borderId="29" applyNumberFormat="0" applyFont="0" applyAlignment="0" applyProtection="0"/>
    <xf numFmtId="0" fontId="2" fillId="0" borderId="0"/>
    <xf numFmtId="0" fontId="2" fillId="0" borderId="0"/>
    <xf numFmtId="0" fontId="2" fillId="0" borderId="0"/>
    <xf numFmtId="0" fontId="2" fillId="12"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0" borderId="0"/>
    <xf numFmtId="0" fontId="2" fillId="0" borderId="0"/>
    <xf numFmtId="0" fontId="2" fillId="0" borderId="0"/>
    <xf numFmtId="0" fontId="2" fillId="0" borderId="0"/>
    <xf numFmtId="0" fontId="2" fillId="11" borderId="29" applyNumberFormat="0" applyFont="0" applyAlignment="0" applyProtection="0"/>
    <xf numFmtId="0" fontId="2" fillId="11" borderId="29" applyNumberFormat="0" applyFont="0" applyAlignment="0" applyProtection="0"/>
    <xf numFmtId="0" fontId="2" fillId="0" borderId="0"/>
    <xf numFmtId="0" fontId="2" fillId="0" borderId="0"/>
    <xf numFmtId="0" fontId="2" fillId="0" borderId="0"/>
    <xf numFmtId="0" fontId="2" fillId="0" borderId="0"/>
  </cellStyleXfs>
  <cellXfs count="1273">
    <xf numFmtId="0" fontId="0" fillId="0" borderId="0" xfId="0"/>
    <xf numFmtId="0" fontId="11" fillId="0" borderId="0" xfId="0" applyFont="1"/>
    <xf numFmtId="0" fontId="22" fillId="0" borderId="0" xfId="0" applyFont="1" applyAlignment="1">
      <alignment vertical="center"/>
    </xf>
    <xf numFmtId="0" fontId="0" fillId="0" borderId="0" xfId="0" applyAlignment="1">
      <alignment vertical="center" wrapText="1"/>
    </xf>
    <xf numFmtId="0" fontId="25" fillId="0" borderId="0" xfId="0" applyFont="1"/>
    <xf numFmtId="0" fontId="0" fillId="0" borderId="0" xfId="0" applyAlignment="1">
      <alignment vertical="center"/>
    </xf>
    <xf numFmtId="0" fontId="9" fillId="0" borderId="0" xfId="0" applyFont="1" applyAlignment="1">
      <alignment vertical="center"/>
    </xf>
    <xf numFmtId="0" fontId="9" fillId="0" borderId="0" xfId="0" applyFont="1" applyAlignment="1">
      <alignment horizontal="center" vertical="center"/>
    </xf>
    <xf numFmtId="41" fontId="17" fillId="0" borderId="1" xfId="8" applyNumberFormat="1" applyFont="1" applyBorder="1"/>
    <xf numFmtId="9" fontId="17" fillId="0" borderId="1" xfId="8" applyNumberFormat="1" applyFont="1" applyBorder="1" applyAlignment="1">
      <alignment horizontal="center"/>
    </xf>
    <xf numFmtId="41" fontId="17" fillId="0" borderId="8" xfId="8" applyNumberFormat="1" applyFont="1" applyBorder="1"/>
    <xf numFmtId="9" fontId="17" fillId="0" borderId="8" xfId="8" applyNumberFormat="1" applyFont="1" applyBorder="1" applyAlignment="1">
      <alignment horizontal="center"/>
    </xf>
    <xf numFmtId="0" fontId="0" fillId="0" borderId="0" xfId="0" applyAlignment="1">
      <alignment vertical="top"/>
    </xf>
    <xf numFmtId="0" fontId="11" fillId="0" borderId="0" xfId="0" applyFont="1" applyAlignment="1">
      <alignment vertical="center"/>
    </xf>
    <xf numFmtId="0" fontId="13" fillId="0" borderId="0" xfId="10" applyFont="1" applyAlignment="1">
      <alignment vertical="center"/>
    </xf>
    <xf numFmtId="0" fontId="9" fillId="0" borderId="0" xfId="10" applyAlignment="1">
      <alignment vertical="center"/>
    </xf>
    <xf numFmtId="0" fontId="17" fillId="0" borderId="0" xfId="10" applyFont="1" applyAlignment="1">
      <alignment vertical="center"/>
    </xf>
    <xf numFmtId="0" fontId="13" fillId="0" borderId="0" xfId="10" applyFont="1" applyAlignment="1">
      <alignment horizontal="center" vertical="center"/>
    </xf>
    <xf numFmtId="0" fontId="9" fillId="0" borderId="0" xfId="10" applyAlignment="1">
      <alignment horizontal="left" vertical="center" indent="2"/>
    </xf>
    <xf numFmtId="167" fontId="9" fillId="4" borderId="21" xfId="10" applyNumberFormat="1" applyFill="1" applyBorder="1" applyAlignment="1" applyProtection="1">
      <alignment horizontal="left" vertical="center" wrapText="1"/>
      <protection locked="0"/>
    </xf>
    <xf numFmtId="0" fontId="11" fillId="0" borderId="0" xfId="10" applyFont="1" applyAlignment="1">
      <alignment horizontal="center" vertical="center"/>
    </xf>
    <xf numFmtId="164" fontId="9" fillId="4" borderId="21" xfId="10" applyNumberFormat="1" applyFill="1" applyBorder="1" applyAlignment="1" applyProtection="1">
      <alignment vertical="center" wrapText="1"/>
      <protection locked="0"/>
    </xf>
    <xf numFmtId="167" fontId="9" fillId="4" borderId="21" xfId="10" applyNumberFormat="1" applyFill="1" applyBorder="1" applyAlignment="1" applyProtection="1">
      <alignment vertical="center" wrapText="1"/>
      <protection locked="0"/>
    </xf>
    <xf numFmtId="0" fontId="20" fillId="0" borderId="0" xfId="2" applyAlignment="1" applyProtection="1"/>
    <xf numFmtId="0" fontId="19" fillId="0" borderId="0" xfId="10" applyFont="1" applyAlignment="1">
      <alignment vertical="top"/>
    </xf>
    <xf numFmtId="0" fontId="11" fillId="0" borderId="0" xfId="10" applyFont="1" applyAlignment="1">
      <alignment vertical="center"/>
    </xf>
    <xf numFmtId="0" fontId="19" fillId="0" borderId="0" xfId="10" applyFont="1" applyAlignment="1">
      <alignment horizontal="left" vertical="center"/>
    </xf>
    <xf numFmtId="0" fontId="19" fillId="0" borderId="0" xfId="10" applyFont="1" applyAlignment="1">
      <alignment horizontal="center" vertical="center"/>
    </xf>
    <xf numFmtId="164" fontId="11" fillId="0" borderId="0" xfId="10" applyNumberFormat="1" applyFont="1" applyAlignment="1">
      <alignment horizontal="right" vertical="center"/>
    </xf>
    <xf numFmtId="0" fontId="9" fillId="0" borderId="0" xfId="9" applyAlignment="1">
      <alignment vertical="center"/>
    </xf>
    <xf numFmtId="0" fontId="11" fillId="0" borderId="0" xfId="9" applyFont="1" applyAlignment="1">
      <alignment vertical="center"/>
    </xf>
    <xf numFmtId="169" fontId="9" fillId="0" borderId="0" xfId="9" applyNumberFormat="1" applyAlignment="1">
      <alignment horizontal="center" vertical="center"/>
    </xf>
    <xf numFmtId="44" fontId="9" fillId="0" borderId="0" xfId="1" applyFont="1" applyFill="1" applyAlignment="1" applyProtection="1">
      <alignment vertical="center"/>
    </xf>
    <xf numFmtId="0" fontId="9" fillId="0" borderId="0" xfId="10" applyAlignment="1">
      <alignment horizontal="center" vertical="center"/>
    </xf>
    <xf numFmtId="3" fontId="19" fillId="0" borderId="0" xfId="10" applyNumberFormat="1" applyFont="1" applyAlignment="1">
      <alignment horizontal="left" vertical="center"/>
    </xf>
    <xf numFmtId="3" fontId="9" fillId="0" borderId="0" xfId="10" applyNumberFormat="1" applyAlignment="1">
      <alignment vertical="center"/>
    </xf>
    <xf numFmtId="3" fontId="0" fillId="0" borderId="0" xfId="0" applyNumberFormat="1" applyAlignment="1">
      <alignment vertical="center"/>
    </xf>
    <xf numFmtId="170" fontId="0" fillId="0" borderId="0" xfId="1" applyNumberFormat="1" applyFont="1" applyAlignment="1">
      <alignment vertical="center"/>
    </xf>
    <xf numFmtId="0" fontId="9" fillId="0" borderId="0" xfId="10" applyAlignment="1">
      <alignment vertical="center" wrapText="1"/>
    </xf>
    <xf numFmtId="0" fontId="12" fillId="0" borderId="0" xfId="0" applyFont="1" applyAlignment="1">
      <alignment vertical="center"/>
    </xf>
    <xf numFmtId="0" fontId="12" fillId="0" borderId="0" xfId="0" applyFont="1" applyAlignment="1">
      <alignment horizontal="center" vertical="center"/>
    </xf>
    <xf numFmtId="0" fontId="9" fillId="0" borderId="0" xfId="0" applyFont="1" applyAlignment="1">
      <alignment horizontal="center"/>
    </xf>
    <xf numFmtId="0" fontId="9" fillId="0" borderId="0" xfId="9" applyAlignment="1">
      <alignment vertical="center" wrapText="1"/>
    </xf>
    <xf numFmtId="0" fontId="19" fillId="0" borderId="0" xfId="10" applyFont="1" applyAlignment="1">
      <alignment horizontal="left" vertical="center" wrapText="1"/>
    </xf>
    <xf numFmtId="0" fontId="13" fillId="0" borderId="0" xfId="0" applyFont="1" applyAlignment="1">
      <alignment horizontal="left" vertical="center" wrapText="1"/>
    </xf>
    <xf numFmtId="22" fontId="9" fillId="0" borderId="0" xfId="10" applyNumberFormat="1" applyAlignment="1">
      <alignment vertical="center"/>
    </xf>
    <xf numFmtId="0" fontId="12" fillId="0" borderId="0" xfId="8" applyFont="1"/>
    <xf numFmtId="0" fontId="15" fillId="0" borderId="0" xfId="8" applyFont="1" applyAlignment="1">
      <alignment horizontal="left"/>
    </xf>
    <xf numFmtId="0" fontId="9" fillId="0" borderId="0" xfId="8" applyAlignment="1">
      <alignment horizontal="left"/>
    </xf>
    <xf numFmtId="9" fontId="12" fillId="0" borderId="0" xfId="8" applyNumberFormat="1" applyFont="1" applyAlignment="1">
      <alignment horizontal="center"/>
    </xf>
    <xf numFmtId="0" fontId="9" fillId="0" borderId="0" xfId="8"/>
    <xf numFmtId="9" fontId="18" fillId="0" borderId="2" xfId="8" applyNumberFormat="1" applyFont="1" applyBorder="1" applyAlignment="1">
      <alignment horizontal="center" wrapText="1"/>
    </xf>
    <xf numFmtId="0" fontId="18" fillId="0" borderId="2" xfId="8" applyFont="1" applyBorder="1" applyAlignment="1">
      <alignment horizontal="center" wrapText="1"/>
    </xf>
    <xf numFmtId="0" fontId="16" fillId="0" borderId="0" xfId="8" applyFont="1" applyAlignment="1">
      <alignment horizontal="center"/>
    </xf>
    <xf numFmtId="9" fontId="16" fillId="0" borderId="0" xfId="8" applyNumberFormat="1" applyFont="1" applyAlignment="1">
      <alignment horizontal="center"/>
    </xf>
    <xf numFmtId="9" fontId="16" fillId="0" borderId="2" xfId="8" applyNumberFormat="1" applyFont="1" applyBorder="1" applyAlignment="1">
      <alignment horizontal="center"/>
    </xf>
    <xf numFmtId="9" fontId="9" fillId="0" borderId="0" xfId="8" applyNumberFormat="1" applyAlignment="1">
      <alignment horizontal="center"/>
    </xf>
    <xf numFmtId="41" fontId="17" fillId="0" borderId="11" xfId="8" applyNumberFormat="1" applyFont="1" applyBorder="1"/>
    <xf numFmtId="0" fontId="20" fillId="0" borderId="0" xfId="2" applyFill="1" applyAlignment="1" applyProtection="1">
      <alignment vertical="center"/>
    </xf>
    <xf numFmtId="0" fontId="0" fillId="0" borderId="15" xfId="0" applyBorder="1" applyAlignment="1">
      <alignment vertical="center"/>
    </xf>
    <xf numFmtId="0" fontId="0" fillId="0" borderId="24" xfId="0" applyBorder="1" applyAlignment="1">
      <alignment vertical="center"/>
    </xf>
    <xf numFmtId="0" fontId="0" fillId="0" borderId="18"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34" fillId="0" borderId="0" xfId="0" applyFont="1"/>
    <xf numFmtId="0" fontId="13" fillId="0" borderId="0" xfId="0" applyFont="1" applyAlignment="1">
      <alignment horizontal="right" vertical="center"/>
    </xf>
    <xf numFmtId="0" fontId="39" fillId="0" borderId="0" xfId="0" applyFont="1" applyAlignment="1">
      <alignment horizontal="center" vertical="center"/>
    </xf>
    <xf numFmtId="0" fontId="40" fillId="0" borderId="0" xfId="0" applyFont="1" applyAlignment="1">
      <alignment horizontal="left" vertical="center"/>
    </xf>
    <xf numFmtId="0" fontId="13" fillId="0" borderId="0" xfId="0" applyFont="1" applyAlignment="1">
      <alignment vertical="center"/>
    </xf>
    <xf numFmtId="0" fontId="0" fillId="0" borderId="26" xfId="0" applyBorder="1" applyAlignment="1">
      <alignment vertical="center" wrapText="1"/>
    </xf>
    <xf numFmtId="0" fontId="39" fillId="0" borderId="0" xfId="10" applyFont="1"/>
    <xf numFmtId="0" fontId="9" fillId="0" borderId="0" xfId="10"/>
    <xf numFmtId="0" fontId="9" fillId="24" borderId="0" xfId="10" applyFill="1"/>
    <xf numFmtId="0" fontId="9" fillId="0" borderId="0" xfId="10" applyAlignment="1">
      <alignment wrapText="1"/>
    </xf>
    <xf numFmtId="0" fontId="45" fillId="24" borderId="0" xfId="10" applyFont="1" applyFill="1"/>
    <xf numFmtId="0" fontId="45" fillId="0" borderId="0" xfId="10" applyFont="1"/>
    <xf numFmtId="0" fontId="9" fillId="0" borderId="0" xfId="10" applyAlignment="1">
      <alignment horizontal="center" vertical="center" wrapText="1"/>
    </xf>
    <xf numFmtId="0" fontId="23" fillId="0" borderId="0" xfId="2" applyFont="1" applyAlignment="1" applyProtection="1">
      <alignment horizontal="center" vertical="center"/>
    </xf>
    <xf numFmtId="0" fontId="45" fillId="0" borderId="0" xfId="10" applyFont="1" applyAlignment="1">
      <alignment wrapText="1"/>
    </xf>
    <xf numFmtId="0" fontId="44" fillId="24" borderId="0" xfId="10" applyFont="1" applyFill="1" applyAlignment="1">
      <alignment vertical="center"/>
    </xf>
    <xf numFmtId="0" fontId="26" fillId="0" borderId="0" xfId="10" applyFont="1"/>
    <xf numFmtId="0" fontId="26" fillId="0" borderId="0" xfId="10" applyFont="1" applyAlignment="1">
      <alignment wrapText="1"/>
    </xf>
    <xf numFmtId="0" fontId="46" fillId="0" borderId="0" xfId="10" applyFont="1" applyAlignment="1">
      <alignment horizontal="center" vertical="center"/>
    </xf>
    <xf numFmtId="0" fontId="11" fillId="0" borderId="0" xfId="10" applyFont="1" applyAlignment="1">
      <alignment horizontal="center" vertical="center" wrapText="1"/>
    </xf>
    <xf numFmtId="0" fontId="46" fillId="0" borderId="0" xfId="2" applyFont="1" applyFill="1" applyBorder="1" applyAlignment="1" applyProtection="1">
      <alignment horizontal="center" vertical="center"/>
    </xf>
    <xf numFmtId="0" fontId="25" fillId="0" borderId="13" xfId="10" applyFont="1" applyBorder="1" applyAlignment="1">
      <alignment horizontal="center"/>
    </xf>
    <xf numFmtId="0" fontId="25" fillId="0" borderId="13" xfId="10" applyFont="1" applyBorder="1"/>
    <xf numFmtId="0" fontId="25" fillId="0" borderId="13" xfId="10" applyFont="1" applyBorder="1" applyAlignment="1">
      <alignment horizontal="center" wrapText="1"/>
    </xf>
    <xf numFmtId="0" fontId="25" fillId="0" borderId="0" xfId="10" applyFont="1"/>
    <xf numFmtId="0" fontId="25" fillId="0" borderId="0" xfId="10" applyFont="1" applyAlignment="1">
      <alignment wrapText="1"/>
    </xf>
    <xf numFmtId="0" fontId="9" fillId="0" borderId="0" xfId="10"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9" fillId="0" borderId="0" xfId="9" applyAlignment="1" applyProtection="1">
      <alignment vertical="center" wrapText="1"/>
      <protection locked="0"/>
    </xf>
    <xf numFmtId="169" fontId="9" fillId="0" borderId="0" xfId="9" applyNumberFormat="1" applyAlignment="1" applyProtection="1">
      <alignment horizontal="center" vertical="center"/>
      <protection locked="0"/>
    </xf>
    <xf numFmtId="44" fontId="9" fillId="0" borderId="0" xfId="1" applyFont="1" applyFill="1" applyAlignment="1" applyProtection="1">
      <alignment vertical="center"/>
      <protection locked="0"/>
    </xf>
    <xf numFmtId="0" fontId="9" fillId="0" borderId="0" xfId="9" applyAlignment="1" applyProtection="1">
      <alignment vertical="center"/>
      <protection locked="0"/>
    </xf>
    <xf numFmtId="0" fontId="9" fillId="0" borderId="0" xfId="10" applyAlignment="1" applyProtection="1">
      <alignment vertical="center"/>
      <protection locked="0"/>
    </xf>
    <xf numFmtId="0" fontId="9" fillId="0" borderId="0" xfId="10" applyAlignment="1" applyProtection="1">
      <alignment horizontal="center" vertical="center"/>
      <protection locked="0"/>
    </xf>
    <xf numFmtId="0" fontId="46" fillId="0" borderId="0" xfId="10" applyFont="1" applyAlignment="1" applyProtection="1">
      <alignment horizontal="center" vertical="center"/>
      <protection locked="0"/>
    </xf>
    <xf numFmtId="0" fontId="11" fillId="0" borderId="0" xfId="10" applyFont="1" applyAlignment="1" applyProtection="1">
      <alignment horizontal="center" vertical="center"/>
      <protection locked="0"/>
    </xf>
    <xf numFmtId="0" fontId="11" fillId="0" borderId="0" xfId="10" applyFont="1" applyAlignment="1" applyProtection="1">
      <alignment horizontal="center" vertical="center" wrapText="1"/>
      <protection locked="0"/>
    </xf>
    <xf numFmtId="0" fontId="9" fillId="0" borderId="0" xfId="10" applyAlignment="1" applyProtection="1">
      <alignment horizontal="center" vertical="center" wrapText="1"/>
      <protection locked="0"/>
    </xf>
    <xf numFmtId="0" fontId="46" fillId="0" borderId="0" xfId="2" applyFont="1" applyFill="1" applyBorder="1" applyAlignment="1" applyProtection="1">
      <alignment horizontal="center" vertical="center"/>
      <protection locked="0"/>
    </xf>
    <xf numFmtId="0" fontId="46" fillId="0" borderId="0" xfId="10" applyFont="1" applyProtection="1">
      <protection locked="0"/>
    </xf>
    <xf numFmtId="0" fontId="46"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170" fontId="0" fillId="0" borderId="0" xfId="1" applyNumberFormat="1" applyFont="1" applyAlignment="1" applyProtection="1">
      <alignment vertical="center"/>
      <protection locked="0"/>
    </xf>
    <xf numFmtId="0" fontId="0" fillId="0" borderId="23" xfId="0" applyBorder="1" applyAlignment="1" applyProtection="1">
      <alignment vertical="center" wrapText="1"/>
      <protection locked="0"/>
    </xf>
    <xf numFmtId="0" fontId="0" fillId="0" borderId="18" xfId="0" applyBorder="1" applyAlignment="1" applyProtection="1">
      <alignment vertical="center"/>
      <protection locked="0"/>
    </xf>
    <xf numFmtId="0" fontId="0" fillId="0" borderId="25" xfId="0" applyBorder="1" applyAlignment="1" applyProtection="1">
      <alignment vertical="center" wrapText="1"/>
      <protection locked="0"/>
    </xf>
    <xf numFmtId="0" fontId="13" fillId="0" borderId="0" xfId="0" applyFont="1" applyAlignment="1" applyProtection="1">
      <alignment horizontal="right" vertical="center"/>
      <protection locked="0"/>
    </xf>
    <xf numFmtId="0" fontId="0" fillId="0" borderId="15" xfId="0" applyBorder="1" applyAlignment="1" applyProtection="1">
      <alignment vertical="center"/>
      <protection locked="0"/>
    </xf>
    <xf numFmtId="0" fontId="0" fillId="0" borderId="24" xfId="0" applyBorder="1" applyAlignment="1" applyProtection="1">
      <alignment vertical="center"/>
      <protection locked="0"/>
    </xf>
    <xf numFmtId="0" fontId="0" fillId="0" borderId="0" xfId="0" applyAlignment="1">
      <alignment horizontal="center" vertical="center"/>
    </xf>
    <xf numFmtId="0" fontId="19" fillId="0" borderId="0" xfId="9" applyFont="1" applyAlignment="1">
      <alignment vertical="center"/>
    </xf>
    <xf numFmtId="0" fontId="11" fillId="0" borderId="0" xfId="9" applyFont="1" applyAlignment="1">
      <alignment horizontal="center" vertical="center"/>
    </xf>
    <xf numFmtId="49" fontId="9" fillId="4" borderId="21" xfId="9" applyNumberFormat="1" applyFill="1" applyBorder="1" applyAlignment="1" applyProtection="1">
      <alignment vertical="center" wrapText="1"/>
      <protection locked="0"/>
    </xf>
    <xf numFmtId="168" fontId="9" fillId="0" borderId="21" xfId="9" applyNumberFormat="1" applyBorder="1" applyAlignment="1">
      <alignment vertical="center" wrapText="1"/>
    </xf>
    <xf numFmtId="0" fontId="9" fillId="0" borderId="19" xfId="9" applyBorder="1" applyAlignment="1">
      <alignment vertical="center" wrapText="1"/>
    </xf>
    <xf numFmtId="0" fontId="23" fillId="0" borderId="0" xfId="9" applyFont="1" applyAlignment="1">
      <alignment vertical="center"/>
    </xf>
    <xf numFmtId="0" fontId="9" fillId="0" borderId="20" xfId="9" applyBorder="1" applyAlignment="1">
      <alignment vertical="center" wrapText="1"/>
    </xf>
    <xf numFmtId="168" fontId="9" fillId="0" borderId="31" xfId="9" applyNumberFormat="1" applyBorder="1" applyAlignment="1">
      <alignment vertical="center" wrapText="1"/>
    </xf>
    <xf numFmtId="168" fontId="9" fillId="0" borderId="32" xfId="9" applyNumberFormat="1" applyBorder="1" applyAlignment="1">
      <alignment vertical="center" wrapText="1"/>
    </xf>
    <xf numFmtId="168" fontId="9" fillId="0" borderId="33" xfId="9" applyNumberFormat="1" applyBorder="1" applyAlignment="1">
      <alignment vertical="center" wrapText="1"/>
    </xf>
    <xf numFmtId="0" fontId="0" fillId="0" borderId="0" xfId="0" applyAlignment="1" applyProtection="1">
      <alignment horizontal="center" vertical="center"/>
      <protection locked="0"/>
    </xf>
    <xf numFmtId="44" fontId="9" fillId="0" borderId="0" xfId="1" applyFill="1" applyAlignment="1">
      <alignment vertical="center"/>
    </xf>
    <xf numFmtId="0" fontId="41" fillId="0" borderId="0" xfId="0" applyFont="1" applyAlignment="1" applyProtection="1">
      <alignment vertical="center"/>
      <protection locked="0"/>
    </xf>
    <xf numFmtId="0" fontId="13" fillId="0" borderId="0" xfId="0" applyFont="1" applyAlignment="1" applyProtection="1">
      <alignment vertical="center"/>
      <protection locked="0"/>
    </xf>
    <xf numFmtId="170" fontId="13" fillId="0" borderId="0" xfId="1" applyNumberFormat="1" applyFont="1" applyAlignment="1" applyProtection="1">
      <alignment vertical="center"/>
      <protection locked="0"/>
    </xf>
    <xf numFmtId="49" fontId="9" fillId="0" borderId="0" xfId="0" applyNumberFormat="1" applyFont="1" applyAlignment="1">
      <alignment vertical="top" wrapText="1"/>
    </xf>
    <xf numFmtId="49" fontId="0" fillId="0" borderId="0" xfId="0" applyNumberFormat="1" applyAlignment="1">
      <alignment vertical="top" wrapText="1"/>
    </xf>
    <xf numFmtId="49" fontId="25" fillId="0" borderId="0" xfId="0" applyNumberFormat="1" applyFont="1"/>
    <xf numFmtId="49" fontId="0" fillId="0" borderId="0" xfId="0" applyNumberFormat="1"/>
    <xf numFmtId="49" fontId="9" fillId="0" borderId="0" xfId="0" applyNumberFormat="1" applyFont="1"/>
    <xf numFmtId="49" fontId="9" fillId="0" borderId="0" xfId="0" applyNumberFormat="1" applyFont="1" applyAlignment="1">
      <alignment wrapText="1"/>
    </xf>
    <xf numFmtId="0" fontId="9" fillId="4" borderId="0" xfId="0" applyFont="1" applyFill="1" applyAlignment="1" applyProtection="1">
      <alignment vertical="top" wrapText="1"/>
      <protection locked="0"/>
    </xf>
    <xf numFmtId="0" fontId="0" fillId="0" borderId="0" xfId="0" applyAlignment="1">
      <alignment horizontal="right" vertical="center" wrapText="1"/>
    </xf>
    <xf numFmtId="165" fontId="0" fillId="0" borderId="0" xfId="0" applyNumberFormat="1" applyAlignment="1" applyProtection="1">
      <alignment horizontal="left" vertical="center"/>
      <protection locked="0"/>
    </xf>
    <xf numFmtId="165" fontId="12" fillId="0" borderId="0" xfId="0" applyNumberFormat="1" applyFont="1" applyAlignment="1">
      <alignment horizontal="left" vertical="center"/>
    </xf>
    <xf numFmtId="0" fontId="12" fillId="0" borderId="0" xfId="0" applyFont="1" applyAlignment="1" applyProtection="1">
      <alignment vertical="center" wrapText="1"/>
      <protection locked="0"/>
    </xf>
    <xf numFmtId="0" fontId="2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165" fontId="0" fillId="0" borderId="0" xfId="0" applyNumberFormat="1" applyAlignment="1">
      <alignment horizontal="left" vertical="center"/>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2" xfId="0" applyFont="1" applyBorder="1" applyAlignment="1" applyProtection="1">
      <alignment horizontal="center" vertical="center"/>
      <protection locked="0"/>
    </xf>
    <xf numFmtId="0" fontId="16" fillId="0" borderId="0" xfId="0" applyFont="1" applyAlignment="1">
      <alignment horizontal="center" vertical="center"/>
    </xf>
    <xf numFmtId="41" fontId="17"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41" fontId="17" fillId="0" borderId="9" xfId="0" applyNumberFormat="1" applyFont="1" applyBorder="1" applyAlignment="1">
      <alignment vertical="center"/>
    </xf>
    <xf numFmtId="41" fontId="17" fillId="2" borderId="11" xfId="0" applyNumberFormat="1" applyFont="1" applyFill="1" applyBorder="1" applyAlignment="1" applyProtection="1">
      <alignment vertical="center"/>
      <protection locked="0"/>
    </xf>
    <xf numFmtId="41" fontId="17" fillId="0" borderId="8" xfId="0" applyNumberFormat="1" applyFont="1" applyBorder="1" applyAlignment="1">
      <alignment vertical="center"/>
    </xf>
    <xf numFmtId="41" fontId="17" fillId="0" borderId="10" xfId="0" applyNumberFormat="1" applyFont="1" applyBorder="1" applyAlignment="1">
      <alignment vertical="center"/>
    </xf>
    <xf numFmtId="41" fontId="17" fillId="0" borderId="1" xfId="0" applyNumberFormat="1" applyFont="1" applyBorder="1" applyAlignment="1">
      <alignment vertical="center"/>
    </xf>
    <xf numFmtId="172" fontId="0" fillId="4" borderId="1" xfId="0" applyNumberFormat="1" applyFill="1" applyBorder="1" applyAlignment="1" applyProtection="1">
      <alignment vertical="center" wrapText="1"/>
      <protection locked="0"/>
    </xf>
    <xf numFmtId="0" fontId="9" fillId="4" borderId="1" xfId="0" applyFont="1" applyFill="1" applyBorder="1" applyAlignment="1" applyProtection="1">
      <alignment vertical="center" wrapText="1"/>
      <protection locked="0"/>
    </xf>
    <xf numFmtId="41" fontId="17" fillId="0" borderId="0" xfId="0" applyNumberFormat="1" applyFont="1" applyAlignment="1">
      <alignment vertical="center"/>
    </xf>
    <xf numFmtId="41" fontId="17" fillId="0" borderId="4" xfId="0" applyNumberFormat="1" applyFont="1" applyBorder="1" applyAlignment="1">
      <alignment vertical="center"/>
    </xf>
    <xf numFmtId="0" fontId="16" fillId="0" borderId="12" xfId="0" applyFont="1" applyBorder="1" applyAlignment="1">
      <alignment horizontal="center" vertical="center"/>
    </xf>
    <xf numFmtId="0" fontId="11" fillId="30" borderId="0" xfId="0" applyFont="1" applyFill="1" applyAlignment="1">
      <alignment horizontal="left" vertical="center" wrapText="1"/>
    </xf>
    <xf numFmtId="0" fontId="38" fillId="30" borderId="0" xfId="0" applyFont="1" applyFill="1" applyAlignment="1">
      <alignment horizontal="center" vertical="center" wrapText="1"/>
    </xf>
    <xf numFmtId="0" fontId="0" fillId="4" borderId="0" xfId="0" applyFill="1" applyAlignment="1" applyProtection="1">
      <alignment vertical="top"/>
      <protection locked="0"/>
    </xf>
    <xf numFmtId="0" fontId="9" fillId="4" borderId="0" xfId="0" applyFont="1" applyFill="1" applyAlignment="1" applyProtection="1">
      <alignment vertical="top"/>
      <protection locked="0"/>
    </xf>
    <xf numFmtId="0" fontId="9" fillId="4" borderId="0" xfId="0" applyFont="1" applyFill="1" applyAlignment="1" applyProtection="1">
      <alignment vertical="center"/>
      <protection locked="0"/>
    </xf>
    <xf numFmtId="0" fontId="44" fillId="0" borderId="0" xfId="10" applyFont="1" applyAlignment="1">
      <alignment vertical="center"/>
    </xf>
    <xf numFmtId="0" fontId="25" fillId="0" borderId="0" xfId="10" applyFont="1" applyAlignment="1">
      <alignment horizontal="center" vertical="center"/>
    </xf>
    <xf numFmtId="0" fontId="46" fillId="0" borderId="0" xfId="0" applyFont="1" applyAlignment="1">
      <alignment horizontal="center" vertical="center"/>
    </xf>
    <xf numFmtId="0" fontId="26" fillId="0" borderId="0" xfId="0" applyFont="1" applyAlignment="1">
      <alignment horizontal="center" vertical="center"/>
    </xf>
    <xf numFmtId="0" fontId="9" fillId="0" borderId="8" xfId="8" applyBorder="1"/>
    <xf numFmtId="0" fontId="9" fillId="0" borderId="0" xfId="0" applyFont="1" applyAlignment="1">
      <alignment vertical="center" wrapText="1"/>
    </xf>
    <xf numFmtId="0" fontId="9" fillId="0" borderId="18" xfId="0" applyFont="1" applyBorder="1" applyAlignment="1" applyProtection="1">
      <alignment horizontal="left" vertical="center" wrapText="1"/>
      <protection locked="0"/>
    </xf>
    <xf numFmtId="0" fontId="9" fillId="0" borderId="0" xfId="0" applyFont="1" applyAlignment="1" applyProtection="1">
      <alignment vertical="center" wrapText="1"/>
      <protection locked="0"/>
    </xf>
    <xf numFmtId="0" fontId="11" fillId="0" borderId="0" xfId="0" applyFont="1" applyAlignment="1">
      <alignment horizontal="center" vertical="center" wrapText="1"/>
    </xf>
    <xf numFmtId="0" fontId="9" fillId="0" borderId="0" xfId="0" applyFont="1" applyAlignment="1">
      <alignment horizontal="center" vertical="center" wrapText="1"/>
    </xf>
    <xf numFmtId="0" fontId="0" fillId="0" borderId="0" xfId="1" applyNumberFormat="1" applyFont="1" applyAlignment="1">
      <alignment horizontal="left" vertical="center"/>
    </xf>
    <xf numFmtId="0" fontId="18" fillId="0" borderId="2" xfId="0" applyFont="1" applyBorder="1" applyAlignment="1">
      <alignment horizontal="right" vertical="center" wrapText="1"/>
    </xf>
    <xf numFmtId="49" fontId="17" fillId="2" borderId="1" xfId="0" applyNumberFormat="1" applyFont="1" applyFill="1" applyBorder="1" applyAlignment="1" applyProtection="1">
      <alignment horizontal="center" vertical="center" wrapText="1"/>
      <protection locked="0"/>
    </xf>
    <xf numFmtId="41" fontId="0" fillId="0" borderId="0" xfId="0" applyNumberFormat="1" applyAlignment="1">
      <alignment vertical="center" wrapText="1"/>
    </xf>
    <xf numFmtId="0" fontId="11" fillId="0" borderId="0" xfId="9" applyFont="1" applyAlignment="1">
      <alignment horizontal="right" vertical="center"/>
    </xf>
    <xf numFmtId="0" fontId="13" fillId="0" borderId="0" xfId="9" applyFont="1" applyAlignment="1">
      <alignment horizontal="right" vertical="center"/>
    </xf>
    <xf numFmtId="0" fontId="13" fillId="0" borderId="0" xfId="9" applyFont="1" applyAlignment="1">
      <alignment horizontal="center" vertical="center"/>
    </xf>
    <xf numFmtId="0" fontId="49" fillId="0" borderId="0" xfId="9" applyFont="1" applyAlignment="1">
      <alignment horizontal="center" vertical="center" wrapText="1"/>
    </xf>
    <xf numFmtId="0" fontId="49" fillId="0" borderId="0" xfId="9" applyFont="1" applyAlignment="1">
      <alignment horizontal="center" vertical="center"/>
    </xf>
    <xf numFmtId="0" fontId="30" fillId="0" borderId="0" xfId="9" applyFont="1" applyAlignment="1">
      <alignment vertical="center"/>
    </xf>
    <xf numFmtId="0" fontId="30" fillId="0" borderId="0" xfId="0" applyFont="1" applyAlignment="1" applyProtection="1">
      <alignment vertical="center"/>
      <protection locked="0"/>
    </xf>
    <xf numFmtId="0" fontId="30" fillId="0" borderId="0" xfId="0" applyFont="1" applyAlignment="1">
      <alignment vertical="center"/>
    </xf>
    <xf numFmtId="0" fontId="0" fillId="0" borderId="0" xfId="0" applyAlignment="1" applyProtection="1">
      <alignment horizontal="right" vertical="center" wrapText="1"/>
      <protection locked="0"/>
    </xf>
    <xf numFmtId="43" fontId="30" fillId="0" borderId="0" xfId="0" applyNumberFormat="1" applyFont="1" applyAlignment="1">
      <alignment vertical="center" wrapText="1"/>
    </xf>
    <xf numFmtId="0" fontId="9" fillId="0" borderId="0" xfId="0" applyFont="1"/>
    <xf numFmtId="0" fontId="9" fillId="0" borderId="0" xfId="0" applyFont="1" applyAlignment="1">
      <alignment wrapText="1"/>
    </xf>
    <xf numFmtId="0" fontId="9" fillId="0" borderId="0" xfId="0" applyFont="1" applyAlignment="1">
      <alignment horizontal="right" vertical="center" wrapText="1"/>
    </xf>
    <xf numFmtId="41" fontId="0" fillId="0" borderId="0" xfId="0" applyNumberFormat="1" applyAlignment="1">
      <alignment horizontal="right" vertical="center" wrapText="1"/>
    </xf>
    <xf numFmtId="37" fontId="0" fillId="0" borderId="0" xfId="0" applyNumberFormat="1" applyAlignment="1">
      <alignment horizontal="left" vertical="center" wrapText="1"/>
    </xf>
    <xf numFmtId="0" fontId="26" fillId="0" borderId="0" xfId="10" applyFont="1" applyAlignment="1" applyProtection="1">
      <alignment horizontal="left" vertical="center"/>
      <protection locked="0"/>
    </xf>
    <xf numFmtId="0" fontId="50" fillId="0" borderId="0" xfId="9" applyFont="1" applyAlignment="1">
      <alignment horizontal="right" vertical="center"/>
    </xf>
    <xf numFmtId="0" fontId="50" fillId="0" borderId="0" xfId="9" applyFont="1" applyAlignment="1">
      <alignment horizontal="left" vertical="center"/>
    </xf>
    <xf numFmtId="0" fontId="11" fillId="0" borderId="0" xfId="9" applyFont="1" applyAlignment="1">
      <alignment horizontal="left" vertical="center"/>
    </xf>
    <xf numFmtId="14" fontId="41" fillId="0" borderId="0" xfId="10" applyNumberFormat="1" applyFont="1" applyAlignment="1">
      <alignment vertical="center"/>
    </xf>
    <xf numFmtId="166" fontId="30" fillId="4" borderId="38" xfId="9" applyNumberFormat="1" applyFont="1" applyFill="1" applyBorder="1" applyAlignment="1" applyProtection="1">
      <alignment vertical="center"/>
      <protection locked="0"/>
    </xf>
    <xf numFmtId="2" fontId="30" fillId="0" borderId="6" xfId="9" applyNumberFormat="1" applyFont="1" applyBorder="1" applyAlignment="1">
      <alignment horizontal="center" vertical="center"/>
    </xf>
    <xf numFmtId="0" fontId="9" fillId="0" borderId="0" xfId="9" applyAlignment="1">
      <alignment horizontal="left" vertical="center" wrapText="1"/>
    </xf>
    <xf numFmtId="7" fontId="0" fillId="0" borderId="0" xfId="1" applyNumberFormat="1" applyFont="1" applyAlignment="1">
      <alignment horizontal="left" vertical="center"/>
    </xf>
    <xf numFmtId="0" fontId="0" fillId="0" borderId="0" xfId="0" applyAlignment="1">
      <alignment horizontal="right"/>
    </xf>
    <xf numFmtId="0" fontId="0" fillId="0" borderId="0" xfId="0" applyAlignment="1">
      <alignment horizontal="left"/>
    </xf>
    <xf numFmtId="0" fontId="52" fillId="0" borderId="0" xfId="0" applyFont="1" applyAlignment="1">
      <alignment horizontal="left" vertical="center"/>
    </xf>
    <xf numFmtId="0" fontId="52" fillId="0" borderId="0" xfId="0" applyFont="1" applyAlignment="1">
      <alignment vertical="center"/>
    </xf>
    <xf numFmtId="0" fontId="11" fillId="0" borderId="0" xfId="0" applyFont="1" applyAlignment="1">
      <alignment horizontal="center"/>
    </xf>
    <xf numFmtId="0" fontId="11" fillId="0" borderId="0" xfId="0" applyFont="1" applyAlignment="1">
      <alignment horizontal="center" wrapText="1"/>
    </xf>
    <xf numFmtId="0" fontId="0" fillId="0" borderId="0" xfId="0" applyAlignment="1">
      <alignment horizontal="right" vertical="center"/>
    </xf>
    <xf numFmtId="0" fontId="9"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11" fillId="30" borderId="0" xfId="0" applyFont="1" applyFill="1" applyAlignment="1">
      <alignment horizontal="center" wrapText="1"/>
    </xf>
    <xf numFmtId="0" fontId="11" fillId="30" borderId="0" xfId="0" applyFont="1" applyFill="1" applyAlignment="1">
      <alignment horizontal="center"/>
    </xf>
    <xf numFmtId="14" fontId="0" fillId="30" borderId="0" xfId="0" applyNumberFormat="1" applyFill="1" applyAlignment="1">
      <alignment vertical="center"/>
    </xf>
    <xf numFmtId="0" fontId="0" fillId="30" borderId="0" xfId="0" applyFill="1" applyAlignment="1">
      <alignment vertical="center"/>
    </xf>
    <xf numFmtId="164" fontId="0" fillId="30" borderId="0" xfId="0" applyNumberFormat="1" applyFill="1" applyAlignment="1">
      <alignment horizontal="right" vertical="center"/>
    </xf>
    <xf numFmtId="164" fontId="11" fillId="30" borderId="0" xfId="0" applyNumberFormat="1" applyFont="1" applyFill="1" applyAlignment="1">
      <alignment horizontal="right" vertical="center"/>
    </xf>
    <xf numFmtId="164" fontId="11" fillId="30" borderId="0" xfId="0" applyNumberFormat="1" applyFont="1" applyFill="1" applyAlignment="1">
      <alignment vertical="center"/>
    </xf>
    <xf numFmtId="9" fontId="0" fillId="30" borderId="0" xfId="47" applyFont="1" applyFill="1" applyBorder="1" applyAlignment="1">
      <alignment horizontal="right" vertical="center"/>
    </xf>
    <xf numFmtId="164" fontId="0" fillId="0" borderId="18" xfId="0" applyNumberFormat="1" applyBorder="1" applyAlignment="1">
      <alignment horizontal="right" vertical="center"/>
    </xf>
    <xf numFmtId="164" fontId="11" fillId="0" borderId="0" xfId="0" applyNumberFormat="1" applyFont="1" applyAlignment="1">
      <alignment horizontal="right" vertical="center"/>
    </xf>
    <xf numFmtId="14" fontId="0" fillId="30"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9" fontId="0" fillId="0" borderId="0" xfId="47" applyFont="1" applyFill="1" applyBorder="1" applyAlignment="1">
      <alignment horizontal="right" vertical="center"/>
    </xf>
    <xf numFmtId="0" fontId="11" fillId="0" borderId="0" xfId="0" applyFont="1" applyAlignment="1">
      <alignment horizontal="right" vertical="center"/>
    </xf>
    <xf numFmtId="0" fontId="53" fillId="0" borderId="0" xfId="0" applyFont="1" applyAlignment="1" applyProtection="1">
      <alignment vertical="center"/>
      <protection locked="0"/>
    </xf>
    <xf numFmtId="164" fontId="30" fillId="0" borderId="0" xfId="9" applyNumberFormat="1" applyFont="1" applyAlignment="1">
      <alignment vertical="center"/>
    </xf>
    <xf numFmtId="0" fontId="9" fillId="0" borderId="0" xfId="9" applyAlignment="1">
      <alignment horizontal="center" vertical="center"/>
    </xf>
    <xf numFmtId="14" fontId="0" fillId="4" borderId="0" xfId="0" applyNumberFormat="1" applyFill="1" applyAlignment="1" applyProtection="1">
      <alignment horizontal="right" vertical="center"/>
      <protection locked="0"/>
    </xf>
    <xf numFmtId="0" fontId="54" fillId="0" borderId="0" xfId="10" applyFont="1"/>
    <xf numFmtId="173" fontId="9" fillId="0" borderId="0" xfId="9" applyNumberFormat="1" applyAlignment="1">
      <alignment vertical="center"/>
    </xf>
    <xf numFmtId="0" fontId="18" fillId="30" borderId="2" xfId="0" applyFont="1" applyFill="1" applyBorder="1" applyAlignment="1">
      <alignment horizontal="center" vertical="center" wrapText="1"/>
    </xf>
    <xf numFmtId="0" fontId="16" fillId="30" borderId="0" xfId="0" applyFont="1" applyFill="1" applyAlignment="1">
      <alignment horizontal="center" vertical="center"/>
    </xf>
    <xf numFmtId="41" fontId="17" fillId="30" borderId="8" xfId="0" applyNumberFormat="1" applyFont="1" applyFill="1" applyBorder="1" applyAlignment="1">
      <alignment vertical="center"/>
    </xf>
    <xf numFmtId="0" fontId="16" fillId="30" borderId="2" xfId="0" applyFont="1" applyFill="1" applyBorder="1" applyAlignment="1">
      <alignment horizontal="center" vertical="center"/>
    </xf>
    <xf numFmtId="174" fontId="17" fillId="30" borderId="9" xfId="0" applyNumberFormat="1" applyFont="1" applyFill="1" applyBorder="1" applyAlignment="1">
      <alignment vertical="center"/>
    </xf>
    <xf numFmtId="43" fontId="17" fillId="30" borderId="1" xfId="0" applyNumberFormat="1" applyFont="1" applyFill="1" applyBorder="1" applyAlignment="1">
      <alignment vertical="center"/>
    </xf>
    <xf numFmtId="41" fontId="17" fillId="30" borderId="1" xfId="0" applyNumberFormat="1" applyFont="1" applyFill="1" applyBorder="1" applyAlignment="1">
      <alignment vertical="center"/>
    </xf>
    <xf numFmtId="0" fontId="0" fillId="30" borderId="0" xfId="0" applyFill="1" applyAlignment="1">
      <alignment horizontal="center" vertical="center"/>
    </xf>
    <xf numFmtId="43" fontId="17" fillId="30" borderId="8" xfId="0" applyNumberFormat="1" applyFont="1" applyFill="1" applyBorder="1" applyAlignment="1">
      <alignment vertical="center"/>
    </xf>
    <xf numFmtId="3" fontId="9" fillId="0" borderId="0" xfId="9" applyNumberFormat="1" applyAlignment="1">
      <alignment vertical="center"/>
    </xf>
    <xf numFmtId="3" fontId="30" fillId="4" borderId="37" xfId="9" applyNumberFormat="1" applyFont="1" applyFill="1" applyBorder="1" applyAlignment="1" applyProtection="1">
      <alignment vertical="center"/>
      <protection locked="0"/>
    </xf>
    <xf numFmtId="166" fontId="0" fillId="0" borderId="0" xfId="0" applyNumberFormat="1" applyAlignment="1">
      <alignment horizontal="left" vertical="center"/>
    </xf>
    <xf numFmtId="165" fontId="0" fillId="30" borderId="0" xfId="0" applyNumberFormat="1" applyFill="1" applyAlignment="1">
      <alignment horizontal="right" vertical="center"/>
    </xf>
    <xf numFmtId="166" fontId="0" fillId="0" borderId="0" xfId="0" applyNumberFormat="1" applyAlignment="1">
      <alignment horizontal="center" vertical="center"/>
    </xf>
    <xf numFmtId="166" fontId="9" fillId="0" borderId="0" xfId="0" applyNumberFormat="1" applyFont="1" applyAlignment="1">
      <alignment horizontal="left" vertical="center"/>
    </xf>
    <xf numFmtId="0" fontId="9" fillId="0" borderId="0" xfId="0" applyFont="1" applyAlignment="1">
      <alignment horizontal="right" wrapText="1"/>
    </xf>
    <xf numFmtId="165" fontId="0" fillId="0" borderId="0" xfId="0" applyNumberFormat="1" applyAlignment="1">
      <alignment horizontal="right" vertical="center"/>
    </xf>
    <xf numFmtId="164" fontId="11" fillId="0" borderId="0" xfId="0" applyNumberFormat="1" applyFont="1" applyAlignment="1">
      <alignment vertical="center"/>
    </xf>
    <xf numFmtId="164" fontId="0" fillId="0" borderId="47" xfId="0" applyNumberFormat="1" applyBorder="1" applyAlignment="1">
      <alignment horizontal="right" vertical="center"/>
    </xf>
    <xf numFmtId="164" fontId="0" fillId="30" borderId="47" xfId="0" applyNumberFormat="1" applyFill="1" applyBorder="1" applyAlignment="1">
      <alignment horizontal="right" vertical="center"/>
    </xf>
    <xf numFmtId="0" fontId="9" fillId="4" borderId="21" xfId="10" applyFill="1" applyBorder="1" applyAlignment="1" applyProtection="1">
      <alignment vertical="center" wrapText="1"/>
      <protection locked="0"/>
    </xf>
    <xf numFmtId="49" fontId="9" fillId="4" borderId="21" xfId="10" applyNumberFormat="1" applyFill="1" applyBorder="1" applyAlignment="1" applyProtection="1">
      <alignment vertical="center" wrapText="1"/>
      <protection locked="0"/>
    </xf>
    <xf numFmtId="10" fontId="30" fillId="4" borderId="39" xfId="9" applyNumberFormat="1" applyFont="1" applyFill="1" applyBorder="1" applyAlignment="1" applyProtection="1">
      <alignment vertical="center"/>
      <protection locked="0"/>
    </xf>
    <xf numFmtId="10" fontId="9" fillId="0" borderId="0" xfId="9" applyNumberFormat="1" applyAlignment="1">
      <alignment vertical="center"/>
    </xf>
    <xf numFmtId="4" fontId="55" fillId="0" borderId="14" xfId="9" applyNumberFormat="1" applyFont="1" applyBorder="1" applyAlignment="1">
      <alignment vertical="center"/>
    </xf>
    <xf numFmtId="4" fontId="55" fillId="0" borderId="0" xfId="9" applyNumberFormat="1" applyFont="1" applyAlignment="1">
      <alignment vertical="center"/>
    </xf>
    <xf numFmtId="0" fontId="9" fillId="0" borderId="0" xfId="10" quotePrefix="1" applyAlignment="1">
      <alignment vertical="center"/>
    </xf>
    <xf numFmtId="0" fontId="0" fillId="0" borderId="0" xfId="0" applyAlignment="1">
      <alignment horizontal="center" vertical="top" wrapText="1"/>
    </xf>
    <xf numFmtId="0" fontId="9" fillId="0" borderId="0" xfId="0" applyFont="1" applyAlignment="1">
      <alignment vertical="top" wrapText="1"/>
    </xf>
    <xf numFmtId="0" fontId="9" fillId="0" borderId="0" xfId="0" applyFont="1" applyAlignment="1">
      <alignment horizontal="center" vertical="top" wrapText="1"/>
    </xf>
    <xf numFmtId="0" fontId="0" fillId="0" borderId="0" xfId="0" applyAlignment="1">
      <alignment horizontal="center" vertical="top"/>
    </xf>
    <xf numFmtId="0" fontId="58" fillId="0" borderId="0" xfId="2" applyFont="1" applyAlignment="1" applyProtection="1"/>
    <xf numFmtId="0" fontId="9" fillId="0" borderId="53" xfId="0" applyFont="1" applyBorder="1" applyAlignment="1">
      <alignment horizontal="center"/>
    </xf>
    <xf numFmtId="0" fontId="9" fillId="0" borderId="54" xfId="0" applyFont="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11" fillId="39" borderId="51" xfId="0" applyFont="1" applyFill="1" applyBorder="1" applyAlignment="1">
      <alignment horizontal="center"/>
    </xf>
    <xf numFmtId="0" fontId="11" fillId="39" borderId="52" xfId="0" applyFont="1" applyFill="1" applyBorder="1" applyAlignment="1">
      <alignment horizontal="center"/>
    </xf>
    <xf numFmtId="168" fontId="9" fillId="0" borderId="0" xfId="10" applyNumberFormat="1" applyAlignment="1">
      <alignment vertical="center"/>
    </xf>
    <xf numFmtId="0" fontId="46" fillId="0" borderId="0" xfId="9" applyFont="1" applyAlignment="1">
      <alignment vertical="center"/>
    </xf>
    <xf numFmtId="0" fontId="9" fillId="0" borderId="0" xfId="10" applyAlignment="1">
      <alignment horizontal="left" vertical="center"/>
    </xf>
    <xf numFmtId="0" fontId="39" fillId="41" borderId="56" xfId="0" applyFont="1" applyFill="1" applyBorder="1"/>
    <xf numFmtId="0" fontId="39" fillId="41" borderId="62" xfId="0" applyFont="1" applyFill="1" applyBorder="1"/>
    <xf numFmtId="0" fontId="39" fillId="41" borderId="58" xfId="0" applyFont="1" applyFill="1" applyBorder="1"/>
    <xf numFmtId="0" fontId="39" fillId="41" borderId="0" xfId="0" applyFont="1" applyFill="1"/>
    <xf numFmtId="0" fontId="39" fillId="41" borderId="59" xfId="0" applyFont="1" applyFill="1" applyBorder="1"/>
    <xf numFmtId="0" fontId="39" fillId="41" borderId="60" xfId="0" applyFont="1" applyFill="1" applyBorder="1"/>
    <xf numFmtId="0" fontId="39" fillId="41" borderId="63" xfId="0" applyFont="1" applyFill="1" applyBorder="1"/>
    <xf numFmtId="0" fontId="61" fillId="0" borderId="0" xfId="0" applyFont="1" applyAlignment="1">
      <alignment horizontal="center"/>
    </xf>
    <xf numFmtId="0" fontId="11" fillId="39" borderId="65" xfId="0" applyFont="1" applyFill="1" applyBorder="1" applyAlignment="1">
      <alignment horizontal="center"/>
    </xf>
    <xf numFmtId="0" fontId="11" fillId="39" borderId="66" xfId="0" applyFont="1" applyFill="1" applyBorder="1" applyAlignment="1">
      <alignment horizontal="center"/>
    </xf>
    <xf numFmtId="0" fontId="0" fillId="0" borderId="67" xfId="0" applyBorder="1" applyAlignment="1">
      <alignment horizontal="center"/>
    </xf>
    <xf numFmtId="0" fontId="9" fillId="0" borderId="68" xfId="0" applyFont="1" applyBorder="1" applyAlignment="1">
      <alignment horizontal="center"/>
    </xf>
    <xf numFmtId="0" fontId="11" fillId="39" borderId="71" xfId="0" applyFont="1" applyFill="1" applyBorder="1" applyAlignment="1">
      <alignment horizontal="center"/>
    </xf>
    <xf numFmtId="0" fontId="9" fillId="40" borderId="64" xfId="0" quotePrefix="1" applyFont="1" applyFill="1" applyBorder="1" applyAlignment="1">
      <alignment wrapText="1"/>
    </xf>
    <xf numFmtId="43" fontId="9" fillId="0" borderId="0" xfId="48" applyFont="1" applyAlignment="1">
      <alignment vertical="center"/>
    </xf>
    <xf numFmtId="43" fontId="0" fillId="0" borderId="0" xfId="48" applyFont="1" applyAlignment="1" applyProtection="1">
      <alignment vertical="center"/>
      <protection locked="0"/>
    </xf>
    <xf numFmtId="174" fontId="0" fillId="0" borderId="0" xfId="48" applyNumberFormat="1" applyFont="1" applyAlignment="1" applyProtection="1">
      <alignment vertical="center"/>
      <protection locked="0"/>
    </xf>
    <xf numFmtId="174" fontId="9" fillId="0" borderId="0" xfId="48" applyNumberFormat="1" applyFont="1" applyAlignment="1">
      <alignment vertical="center"/>
    </xf>
    <xf numFmtId="174" fontId="41" fillId="0" borderId="0" xfId="48" applyNumberFormat="1" applyFont="1" applyAlignment="1" applyProtection="1">
      <alignment vertical="center"/>
      <protection locked="0"/>
    </xf>
    <xf numFmtId="174" fontId="13" fillId="0" borderId="0" xfId="48" applyNumberFormat="1" applyFont="1" applyAlignment="1" applyProtection="1">
      <alignment vertical="center"/>
      <protection locked="0"/>
    </xf>
    <xf numFmtId="174" fontId="0" fillId="0" borderId="0" xfId="48" applyNumberFormat="1" applyFont="1" applyAlignment="1">
      <alignment vertical="center"/>
    </xf>
    <xf numFmtId="3" fontId="9" fillId="0" borderId="0" xfId="0" applyNumberFormat="1" applyFont="1" applyAlignment="1">
      <alignment vertical="center"/>
    </xf>
    <xf numFmtId="3" fontId="9" fillId="0" borderId="0" xfId="0" quotePrefix="1" applyNumberFormat="1" applyFont="1" applyAlignment="1">
      <alignment vertical="center"/>
    </xf>
    <xf numFmtId="0" fontId="9" fillId="0" borderId="0" xfId="0" quotePrefix="1" applyFont="1" applyAlignment="1" applyProtection="1">
      <alignment vertical="center"/>
      <protection locked="0"/>
    </xf>
    <xf numFmtId="3" fontId="40" fillId="0" borderId="0" xfId="0" applyNumberFormat="1" applyFont="1" applyAlignment="1">
      <alignment horizontal="left" vertical="center"/>
    </xf>
    <xf numFmtId="0" fontId="9" fillId="0" borderId="0" xfId="0" applyFont="1" applyAlignment="1" applyProtection="1">
      <alignment horizontal="center" vertical="center"/>
      <protection locked="0"/>
    </xf>
    <xf numFmtId="3" fontId="11" fillId="0" borderId="0" xfId="0" quotePrefix="1" applyNumberFormat="1"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3" fontId="0" fillId="0" borderId="0" xfId="0" applyNumberFormat="1"/>
    <xf numFmtId="174" fontId="0" fillId="0" borderId="0" xfId="48" applyNumberFormat="1" applyFont="1"/>
    <xf numFmtId="174" fontId="9" fillId="0" borderId="0" xfId="48" quotePrefix="1" applyNumberFormat="1" applyFont="1"/>
    <xf numFmtId="3" fontId="27" fillId="0" borderId="0" xfId="0" applyNumberFormat="1" applyFont="1" applyAlignment="1">
      <alignment horizontal="center" vertical="center"/>
    </xf>
    <xf numFmtId="43" fontId="9" fillId="0" borderId="0" xfId="48" applyFont="1" applyAlignment="1" applyProtection="1">
      <alignment vertical="center"/>
      <protection locked="0"/>
    </xf>
    <xf numFmtId="0" fontId="13" fillId="41" borderId="0" xfId="0" applyFont="1" applyFill="1" applyAlignment="1">
      <alignment horizontal="center" vertical="center"/>
    </xf>
    <xf numFmtId="43" fontId="12" fillId="0" borderId="73" xfId="48" applyFont="1" applyBorder="1" applyAlignment="1" applyProtection="1">
      <alignment vertical="center"/>
      <protection hidden="1"/>
    </xf>
    <xf numFmtId="43" fontId="0" fillId="0" borderId="0" xfId="48" applyFont="1"/>
    <xf numFmtId="168" fontId="0" fillId="0" borderId="0" xfId="0" applyNumberFormat="1"/>
    <xf numFmtId="168" fontId="11" fillId="5" borderId="5" xfId="9" applyNumberFormat="1" applyFont="1" applyFill="1" applyBorder="1" applyAlignment="1">
      <alignment horizontal="centerContinuous" vertical="center" wrapText="1"/>
    </xf>
    <xf numFmtId="168" fontId="0" fillId="5" borderId="6" xfId="0" applyNumberFormat="1" applyFill="1" applyBorder="1" applyAlignment="1">
      <alignment horizontal="centerContinuous" vertical="center" wrapText="1"/>
    </xf>
    <xf numFmtId="168" fontId="0" fillId="5" borderId="14" xfId="0" applyNumberFormat="1" applyFill="1" applyBorder="1" applyAlignment="1">
      <alignment horizontal="centerContinuous" vertical="center" wrapText="1"/>
    </xf>
    <xf numFmtId="0" fontId="25" fillId="0" borderId="5" xfId="0" applyFont="1" applyBorder="1" applyAlignment="1" applyProtection="1">
      <alignment vertical="center"/>
      <protection hidden="1"/>
    </xf>
    <xf numFmtId="0" fontId="38" fillId="0" borderId="0" xfId="9" applyFont="1" applyAlignment="1">
      <alignment vertical="center"/>
    </xf>
    <xf numFmtId="0" fontId="25" fillId="0" borderId="14" xfId="0" applyFont="1" applyBorder="1" applyAlignment="1" applyProtection="1">
      <alignment horizontal="center" vertical="center"/>
      <protection hidden="1"/>
    </xf>
    <xf numFmtId="0" fontId="25" fillId="0" borderId="6" xfId="0" applyFont="1" applyBorder="1" applyAlignment="1" applyProtection="1">
      <alignment horizontal="center" vertical="center"/>
      <protection hidden="1"/>
    </xf>
    <xf numFmtId="0" fontId="20" fillId="0" borderId="0" xfId="2" applyFill="1" applyAlignment="1" applyProtection="1"/>
    <xf numFmtId="174" fontId="12" fillId="0" borderId="73" xfId="48" applyNumberFormat="1" applyFont="1" applyBorder="1" applyAlignment="1" applyProtection="1">
      <alignment vertical="center"/>
      <protection hidden="1"/>
    </xf>
    <xf numFmtId="0" fontId="25" fillId="0" borderId="6" xfId="0" applyFont="1" applyBorder="1" applyAlignment="1" applyProtection="1">
      <alignment horizontal="center" vertical="center" wrapText="1"/>
      <protection hidden="1"/>
    </xf>
    <xf numFmtId="0" fontId="25" fillId="0" borderId="6" xfId="0" applyFont="1" applyBorder="1" applyAlignment="1" applyProtection="1">
      <alignment vertical="center"/>
      <protection hidden="1"/>
    </xf>
    <xf numFmtId="0" fontId="0" fillId="0" borderId="0" xfId="0" applyAlignment="1" applyProtection="1">
      <alignment vertical="center"/>
      <protection hidden="1"/>
    </xf>
    <xf numFmtId="174" fontId="0" fillId="0" borderId="0" xfId="48" applyNumberFormat="1" applyFont="1" applyAlignment="1" applyProtection="1">
      <alignment vertical="center"/>
      <protection hidden="1"/>
    </xf>
    <xf numFmtId="43" fontId="0" fillId="0" borderId="0" xfId="48" applyFont="1" applyAlignment="1" applyProtection="1">
      <alignment vertical="center"/>
      <protection hidden="1"/>
    </xf>
    <xf numFmtId="170" fontId="0" fillId="0" borderId="0" xfId="0" applyNumberFormat="1" applyAlignment="1" applyProtection="1">
      <alignment vertical="center"/>
      <protection hidden="1"/>
    </xf>
    <xf numFmtId="0" fontId="13" fillId="0" borderId="5" xfId="0" applyFont="1" applyBorder="1" applyAlignment="1" applyProtection="1">
      <alignment vertical="center"/>
      <protection hidden="1"/>
    </xf>
    <xf numFmtId="0" fontId="13" fillId="0" borderId="6" xfId="0" applyFont="1" applyBorder="1" applyAlignment="1" applyProtection="1">
      <alignment vertical="center"/>
      <protection hidden="1"/>
    </xf>
    <xf numFmtId="0" fontId="13" fillId="0" borderId="35" xfId="0" applyFont="1" applyBorder="1" applyAlignment="1" applyProtection="1">
      <alignment vertical="center"/>
      <protection hidden="1"/>
    </xf>
    <xf numFmtId="0" fontId="62" fillId="0" borderId="0" xfId="9" applyFont="1" applyAlignment="1" applyProtection="1">
      <alignment horizontal="center" vertical="top" wrapText="1"/>
      <protection hidden="1"/>
    </xf>
    <xf numFmtId="0" fontId="63" fillId="0" borderId="0" xfId="9" applyFont="1" applyAlignment="1" applyProtection="1">
      <alignment horizontal="center" vertical="top" wrapText="1"/>
      <protection hidden="1"/>
    </xf>
    <xf numFmtId="0" fontId="46" fillId="41" borderId="0" xfId="0" applyFont="1" applyFill="1" applyAlignment="1" applyProtection="1">
      <alignment horizontal="center" vertical="center"/>
      <protection hidden="1"/>
    </xf>
    <xf numFmtId="0" fontId="65" fillId="44" borderId="0" xfId="9" applyFont="1" applyFill="1" applyAlignment="1" applyProtection="1">
      <alignment horizontal="center" vertical="center" wrapText="1"/>
      <protection hidden="1"/>
    </xf>
    <xf numFmtId="0" fontId="9" fillId="0" borderId="0" xfId="10" applyAlignment="1" applyProtection="1">
      <alignment vertical="center"/>
      <protection hidden="1"/>
    </xf>
    <xf numFmtId="0" fontId="13" fillId="25" borderId="73" xfId="2" applyFont="1" applyFill="1" applyBorder="1" applyAlignment="1" applyProtection="1">
      <alignment horizontal="center" vertical="center"/>
    </xf>
    <xf numFmtId="0" fontId="12" fillId="0" borderId="73" xfId="0" applyFont="1" applyBorder="1" applyAlignment="1">
      <alignment vertical="center"/>
    </xf>
    <xf numFmtId="9" fontId="12" fillId="0" borderId="73" xfId="0" applyNumberFormat="1" applyFont="1" applyBorder="1" applyAlignment="1">
      <alignment vertical="center"/>
    </xf>
    <xf numFmtId="44" fontId="12" fillId="0" borderId="73" xfId="1" applyFont="1" applyBorder="1" applyAlignment="1" applyProtection="1">
      <alignment vertical="center"/>
    </xf>
    <xf numFmtId="0" fontId="0" fillId="43" borderId="0" xfId="0" applyFill="1" applyAlignment="1">
      <alignment vertical="center"/>
    </xf>
    <xf numFmtId="170" fontId="12" fillId="0" borderId="73" xfId="1" applyNumberFormat="1" applyFont="1" applyBorder="1" applyAlignment="1" applyProtection="1">
      <alignment vertical="center"/>
    </xf>
    <xf numFmtId="170" fontId="13" fillId="0" borderId="36" xfId="1" applyNumberFormat="1" applyFont="1" applyBorder="1" applyAlignment="1" applyProtection="1">
      <alignment vertical="center"/>
    </xf>
    <xf numFmtId="41" fontId="11" fillId="0" borderId="73" xfId="0" applyNumberFormat="1" applyFont="1" applyBorder="1" applyAlignment="1">
      <alignment vertical="center" wrapText="1"/>
    </xf>
    <xf numFmtId="41" fontId="11" fillId="30" borderId="73" xfId="0" applyNumberFormat="1" applyFont="1" applyFill="1" applyBorder="1" applyAlignment="1">
      <alignment vertical="center" wrapText="1"/>
    </xf>
    <xf numFmtId="41" fontId="0" fillId="0" borderId="73" xfId="0" applyNumberFormat="1" applyBorder="1" applyAlignment="1">
      <alignment vertical="center" wrapText="1"/>
    </xf>
    <xf numFmtId="41" fontId="9" fillId="0" borderId="73" xfId="0" applyNumberFormat="1" applyFont="1" applyBorder="1" applyAlignment="1">
      <alignment vertical="center" wrapText="1"/>
    </xf>
    <xf numFmtId="0" fontId="9" fillId="6" borderId="0" xfId="0" applyFont="1" applyFill="1"/>
    <xf numFmtId="0" fontId="9" fillId="9" borderId="0" xfId="0" applyFont="1" applyFill="1"/>
    <xf numFmtId="0" fontId="9" fillId="8" borderId="0" xfId="0" applyFont="1" applyFill="1"/>
    <xf numFmtId="0" fontId="0" fillId="0" borderId="0" xfId="0" pivotButton="1"/>
    <xf numFmtId="3" fontId="12" fillId="43" borderId="73" xfId="0" applyNumberFormat="1" applyFont="1" applyFill="1" applyBorder="1" applyAlignment="1">
      <alignment horizontal="right" vertical="center"/>
    </xf>
    <xf numFmtId="9" fontId="0" fillId="0" borderId="0" xfId="48" applyNumberFormat="1" applyFont="1" applyAlignment="1" applyProtection="1">
      <alignment vertical="center"/>
      <protection locked="0"/>
    </xf>
    <xf numFmtId="9" fontId="0" fillId="0" borderId="0" xfId="0" applyNumberFormat="1" applyAlignment="1" applyProtection="1">
      <alignment vertical="center"/>
      <protection locked="0"/>
    </xf>
    <xf numFmtId="9" fontId="41" fillId="0" borderId="0" xfId="0" applyNumberFormat="1" applyFont="1" applyAlignment="1" applyProtection="1">
      <alignment vertical="center"/>
      <protection locked="0"/>
    </xf>
    <xf numFmtId="43" fontId="0" fillId="0" borderId="0" xfId="0" applyNumberFormat="1" applyAlignment="1" applyProtection="1">
      <alignment vertical="center"/>
      <protection locked="0"/>
    </xf>
    <xf numFmtId="3" fontId="9" fillId="4" borderId="21" xfId="10" applyNumberFormat="1" applyFill="1" applyBorder="1" applyAlignment="1" applyProtection="1">
      <alignment horizontal="right" vertical="center" wrapText="1"/>
      <protection locked="0"/>
    </xf>
    <xf numFmtId="3" fontId="9" fillId="4" borderId="21" xfId="9" applyNumberFormat="1" applyFill="1" applyBorder="1" applyAlignment="1" applyProtection="1">
      <alignment horizontal="right" vertical="center" wrapText="1"/>
      <protection locked="0"/>
    </xf>
    <xf numFmtId="43" fontId="0" fillId="0" borderId="0" xfId="0" applyNumberFormat="1" applyAlignment="1">
      <alignment vertical="center"/>
    </xf>
    <xf numFmtId="0" fontId="9" fillId="0" borderId="0" xfId="9" applyAlignment="1">
      <alignment horizontal="center" vertical="center" wrapText="1"/>
    </xf>
    <xf numFmtId="0" fontId="9" fillId="0" borderId="0" xfId="9" applyAlignment="1">
      <alignment horizontal="right" vertical="center" wrapText="1"/>
    </xf>
    <xf numFmtId="0" fontId="11" fillId="0" borderId="0" xfId="9" applyFont="1" applyAlignment="1" applyProtection="1">
      <alignment horizontal="center" vertical="center"/>
      <protection hidden="1"/>
    </xf>
    <xf numFmtId="0" fontId="67" fillId="0" borderId="0" xfId="9" applyFont="1" applyAlignment="1" applyProtection="1">
      <alignment vertical="center"/>
      <protection hidden="1"/>
    </xf>
    <xf numFmtId="174" fontId="12" fillId="43" borderId="73" xfId="48" applyNumberFormat="1" applyFont="1" applyFill="1" applyBorder="1" applyAlignment="1">
      <alignment vertical="center"/>
    </xf>
    <xf numFmtId="174" fontId="12" fillId="43" borderId="73" xfId="48" applyNumberFormat="1" applyFont="1" applyFill="1" applyBorder="1" applyAlignment="1">
      <alignment horizontal="center" vertical="center"/>
    </xf>
    <xf numFmtId="0" fontId="13" fillId="0" borderId="8" xfId="2" applyFont="1" applyFill="1" applyBorder="1" applyAlignment="1" applyProtection="1">
      <alignment horizontal="center" vertical="center"/>
    </xf>
    <xf numFmtId="0" fontId="13" fillId="32" borderId="8" xfId="9" applyFont="1" applyFill="1" applyBorder="1" applyAlignment="1">
      <alignment horizontal="center" vertical="center"/>
    </xf>
    <xf numFmtId="168" fontId="9" fillId="4" borderId="21" xfId="9" applyNumberFormat="1" applyFill="1" applyBorder="1" applyAlignment="1" applyProtection="1">
      <alignment vertical="center" wrapText="1"/>
      <protection locked="0"/>
    </xf>
    <xf numFmtId="3" fontId="9" fillId="4" borderId="74" xfId="10" applyNumberFormat="1" applyFill="1" applyBorder="1" applyAlignment="1" applyProtection="1">
      <alignment vertical="center" wrapText="1"/>
      <protection locked="0"/>
    </xf>
    <xf numFmtId="3" fontId="9" fillId="0" borderId="74" xfId="10" applyNumberFormat="1" applyBorder="1" applyAlignment="1">
      <alignment vertical="center" wrapText="1"/>
    </xf>
    <xf numFmtId="3" fontId="9" fillId="4" borderId="75" xfId="10" applyNumberFormat="1" applyFill="1" applyBorder="1" applyAlignment="1" applyProtection="1">
      <alignment vertical="center" wrapText="1"/>
      <protection locked="0"/>
    </xf>
    <xf numFmtId="3" fontId="9" fillId="4" borderId="75" xfId="9" applyNumberFormat="1" applyFill="1" applyBorder="1" applyAlignment="1" applyProtection="1">
      <alignment vertical="center" wrapText="1"/>
      <protection locked="0"/>
    </xf>
    <xf numFmtId="0" fontId="68" fillId="0" borderId="0" xfId="2" applyFont="1" applyAlignment="1" applyProtection="1"/>
    <xf numFmtId="0" fontId="13" fillId="46" borderId="40" xfId="0" applyFont="1" applyFill="1" applyBorder="1" applyAlignment="1" applyProtection="1">
      <alignment horizontal="left" vertical="center"/>
      <protection locked="0"/>
    </xf>
    <xf numFmtId="0" fontId="13" fillId="46" borderId="8" xfId="9" applyFont="1" applyFill="1" applyBorder="1" applyAlignment="1" applyProtection="1">
      <alignment horizontal="center" vertical="center"/>
      <protection locked="0"/>
    </xf>
    <xf numFmtId="49" fontId="0" fillId="0" borderId="0" xfId="0" applyNumberFormat="1" applyAlignment="1">
      <alignment vertical="center" wrapText="1"/>
    </xf>
    <xf numFmtId="49" fontId="0" fillId="0" borderId="0" xfId="0" applyNumberFormat="1" applyAlignment="1">
      <alignment vertical="center"/>
    </xf>
    <xf numFmtId="49" fontId="0" fillId="0" borderId="0" xfId="0" applyNumberFormat="1" applyAlignment="1">
      <alignment horizontal="right" vertical="center" wrapText="1"/>
    </xf>
    <xf numFmtId="49" fontId="0" fillId="4" borderId="21" xfId="0" applyNumberFormat="1" applyFill="1" applyBorder="1" applyAlignment="1">
      <alignment vertical="center" wrapText="1"/>
    </xf>
    <xf numFmtId="49" fontId="0" fillId="46" borderId="21" xfId="0" applyNumberFormat="1" applyFill="1" applyBorder="1" applyAlignment="1">
      <alignment vertical="center" wrapText="1"/>
    </xf>
    <xf numFmtId="0" fontId="11" fillId="0" borderId="41" xfId="0" applyFont="1" applyBorder="1" applyAlignment="1">
      <alignment vertical="center"/>
    </xf>
    <xf numFmtId="0" fontId="0" fillId="0" borderId="42" xfId="0" applyBorder="1" applyAlignment="1">
      <alignment vertical="center"/>
    </xf>
    <xf numFmtId="3" fontId="0" fillId="0" borderId="43" xfId="0" applyNumberFormat="1" applyBorder="1" applyAlignment="1">
      <alignment vertical="center"/>
    </xf>
    <xf numFmtId="174" fontId="0" fillId="0" borderId="0" xfId="51" applyNumberFormat="1" applyFont="1" applyAlignment="1">
      <alignment vertical="center"/>
    </xf>
    <xf numFmtId="0" fontId="9" fillId="0" borderId="44" xfId="0" applyFont="1" applyBorder="1" applyAlignment="1">
      <alignment vertical="center"/>
    </xf>
    <xf numFmtId="3" fontId="0" fillId="0" borderId="34" xfId="0" applyNumberFormat="1" applyBorder="1" applyAlignment="1">
      <alignment vertical="center"/>
    </xf>
    <xf numFmtId="0" fontId="11" fillId="0" borderId="45" xfId="0" applyFont="1" applyBorder="1" applyAlignment="1">
      <alignment vertical="center"/>
    </xf>
    <xf numFmtId="0" fontId="0" fillId="0" borderId="13" xfId="0" applyBorder="1" applyAlignment="1">
      <alignment vertical="center"/>
    </xf>
    <xf numFmtId="3" fontId="0" fillId="0" borderId="46" xfId="0" applyNumberFormat="1" applyBorder="1" applyAlignment="1">
      <alignment vertical="center"/>
    </xf>
    <xf numFmtId="0" fontId="38" fillId="0" borderId="0" xfId="9" applyFont="1" applyAlignment="1">
      <alignment horizontal="left" vertical="center"/>
    </xf>
    <xf numFmtId="3" fontId="9" fillId="0" borderId="41" xfId="9" applyNumberFormat="1" applyBorder="1" applyAlignment="1">
      <alignment vertical="center"/>
    </xf>
    <xf numFmtId="166" fontId="30" fillId="0" borderId="42" xfId="9" applyNumberFormat="1" applyFont="1" applyBorder="1" applyAlignment="1">
      <alignment vertical="center"/>
    </xf>
    <xf numFmtId="166" fontId="9" fillId="0" borderId="42" xfId="9" applyNumberFormat="1" applyBorder="1" applyAlignment="1">
      <alignment vertical="center"/>
    </xf>
    <xf numFmtId="2" fontId="30" fillId="0" borderId="42" xfId="9" applyNumberFormat="1" applyFont="1" applyBorder="1" applyAlignment="1">
      <alignment horizontal="center" vertical="center"/>
    </xf>
    <xf numFmtId="165" fontId="9" fillId="0" borderId="42" xfId="9" applyNumberFormat="1" applyBorder="1" applyAlignment="1">
      <alignment vertical="center"/>
    </xf>
    <xf numFmtId="164" fontId="30" fillId="34" borderId="43" xfId="9" applyNumberFormat="1" applyFont="1" applyFill="1" applyBorder="1" applyAlignment="1">
      <alignment vertical="center"/>
    </xf>
    <xf numFmtId="3" fontId="9" fillId="0" borderId="44" xfId="9" applyNumberFormat="1" applyBorder="1" applyAlignment="1">
      <alignment vertical="center"/>
    </xf>
    <xf numFmtId="166" fontId="30" fillId="0" borderId="0" xfId="9" applyNumberFormat="1" applyFont="1" applyAlignment="1">
      <alignment vertical="center"/>
    </xf>
    <xf numFmtId="166" fontId="9" fillId="0" borderId="0" xfId="9" applyNumberFormat="1" applyAlignment="1">
      <alignment vertical="center"/>
    </xf>
    <xf numFmtId="2" fontId="30" fillId="0" borderId="0" xfId="9" applyNumberFormat="1" applyFont="1" applyAlignment="1">
      <alignment horizontal="center" vertical="center"/>
    </xf>
    <xf numFmtId="165" fontId="9" fillId="0" borderId="0" xfId="9" applyNumberFormat="1" applyAlignment="1">
      <alignment vertical="center"/>
    </xf>
    <xf numFmtId="164" fontId="30" fillId="0" borderId="34" xfId="9" applyNumberFormat="1" applyFont="1" applyBorder="1" applyAlignment="1">
      <alignment vertical="center"/>
    </xf>
    <xf numFmtId="0" fontId="9" fillId="0" borderId="0" xfId="9" applyAlignment="1">
      <alignment horizontal="left" vertical="center"/>
    </xf>
    <xf numFmtId="3" fontId="9" fillId="34" borderId="44" xfId="9" applyNumberFormat="1" applyFill="1" applyBorder="1" applyAlignment="1">
      <alignment vertical="center"/>
    </xf>
    <xf numFmtId="164" fontId="30" fillId="35" borderId="34" xfId="9" applyNumberFormat="1" applyFont="1" applyFill="1" applyBorder="1" applyAlignment="1">
      <alignment vertical="center"/>
    </xf>
    <xf numFmtId="3" fontId="9" fillId="35" borderId="45" xfId="9" applyNumberFormat="1" applyFill="1" applyBorder="1" applyAlignment="1">
      <alignment vertical="center"/>
    </xf>
    <xf numFmtId="166" fontId="9" fillId="0" borderId="13" xfId="9" applyNumberFormat="1" applyBorder="1" applyAlignment="1">
      <alignment vertical="center"/>
    </xf>
    <xf numFmtId="2" fontId="30" fillId="0" borderId="13" xfId="9" applyNumberFormat="1" applyFont="1" applyBorder="1" applyAlignment="1">
      <alignment horizontal="center" vertical="center"/>
    </xf>
    <xf numFmtId="165" fontId="9" fillId="0" borderId="13" xfId="9" applyNumberFormat="1" applyBorder="1" applyAlignment="1">
      <alignment vertical="center"/>
    </xf>
    <xf numFmtId="164" fontId="55" fillId="0" borderId="46" xfId="9" applyNumberFormat="1" applyFont="1" applyBorder="1" applyAlignment="1">
      <alignment vertical="center"/>
    </xf>
    <xf numFmtId="38" fontId="30" fillId="0" borderId="0" xfId="9" applyNumberFormat="1" applyFont="1" applyAlignment="1">
      <alignment vertical="center"/>
    </xf>
    <xf numFmtId="0" fontId="55" fillId="0" borderId="0" xfId="9" applyFont="1" applyAlignment="1">
      <alignment vertical="center"/>
    </xf>
    <xf numFmtId="3" fontId="30" fillId="0" borderId="41" xfId="9" applyNumberFormat="1" applyFont="1" applyBorder="1" applyAlignment="1">
      <alignment vertical="center"/>
    </xf>
    <xf numFmtId="165" fontId="30" fillId="0" borderId="42" xfId="9" applyNumberFormat="1" applyFont="1" applyBorder="1" applyAlignment="1">
      <alignment vertical="center"/>
    </xf>
    <xf numFmtId="3" fontId="30" fillId="0" borderId="44" xfId="9" applyNumberFormat="1" applyFont="1" applyBorder="1" applyAlignment="1">
      <alignment vertical="center"/>
    </xf>
    <xf numFmtId="165" fontId="30" fillId="0" borderId="0" xfId="9" applyNumberFormat="1" applyFont="1" applyAlignment="1">
      <alignment vertical="center"/>
    </xf>
    <xf numFmtId="166" fontId="30" fillId="0" borderId="13" xfId="9" applyNumberFormat="1" applyFont="1" applyBorder="1" applyAlignment="1">
      <alignment vertical="center"/>
    </xf>
    <xf numFmtId="165" fontId="30" fillId="0" borderId="13" xfId="9" applyNumberFormat="1" applyFont="1" applyBorder="1" applyAlignment="1">
      <alignment vertical="center"/>
    </xf>
    <xf numFmtId="22" fontId="9" fillId="46" borderId="21" xfId="10" applyNumberFormat="1" applyFill="1" applyBorder="1" applyAlignment="1" applyProtection="1">
      <alignment vertical="center"/>
      <protection locked="0"/>
    </xf>
    <xf numFmtId="22" fontId="0" fillId="46" borderId="21" xfId="10" applyNumberFormat="1" applyFont="1" applyFill="1" applyBorder="1" applyAlignment="1" applyProtection="1">
      <alignment vertical="center"/>
      <protection locked="0"/>
    </xf>
    <xf numFmtId="0" fontId="9" fillId="4" borderId="75" xfId="10" applyFill="1" applyBorder="1" applyAlignment="1" applyProtection="1">
      <alignment vertical="center" wrapText="1"/>
      <protection locked="0"/>
    </xf>
    <xf numFmtId="0" fontId="11" fillId="0" borderId="0" xfId="0" applyFont="1" applyAlignment="1" applyProtection="1">
      <alignment vertical="center"/>
      <protection locked="0"/>
    </xf>
    <xf numFmtId="0" fontId="11" fillId="0" borderId="0" xfId="10" applyFont="1" applyAlignment="1" applyProtection="1">
      <alignment vertical="center"/>
      <protection locked="0"/>
    </xf>
    <xf numFmtId="0" fontId="19" fillId="0" borderId="0" xfId="10" applyFont="1" applyAlignment="1" applyProtection="1">
      <alignment horizontal="left" vertical="center"/>
      <protection locked="0"/>
    </xf>
    <xf numFmtId="0" fontId="19" fillId="0" borderId="0" xfId="10" applyFont="1" applyAlignment="1" applyProtection="1">
      <alignment horizontal="center" vertical="center"/>
      <protection locked="0"/>
    </xf>
    <xf numFmtId="164" fontId="11" fillId="0" borderId="0" xfId="10" applyNumberFormat="1" applyFont="1" applyAlignment="1" applyProtection="1">
      <alignment horizontal="right" vertical="center"/>
      <protection locked="0"/>
    </xf>
    <xf numFmtId="0" fontId="13" fillId="0" borderId="0" xfId="0" applyFont="1" applyAlignment="1" applyProtection="1">
      <alignment horizontal="left" vertical="center"/>
      <protection locked="0"/>
    </xf>
    <xf numFmtId="0" fontId="11" fillId="0" borderId="0" xfId="9" applyFont="1" applyAlignment="1" applyProtection="1">
      <alignment vertical="center"/>
      <protection locked="0"/>
    </xf>
    <xf numFmtId="0" fontId="11" fillId="0" borderId="0" xfId="0" applyFont="1" applyAlignment="1" applyProtection="1">
      <alignment horizontal="center" vertical="top"/>
      <protection locked="0"/>
    </xf>
    <xf numFmtId="166" fontId="11" fillId="0" borderId="0" xfId="8" applyNumberFormat="1" applyFont="1" applyAlignment="1">
      <alignment vertical="center"/>
    </xf>
    <xf numFmtId="49" fontId="9" fillId="0" borderId="0" xfId="8" applyNumberFormat="1" applyAlignment="1">
      <alignment horizontal="center" vertical="center"/>
    </xf>
    <xf numFmtId="0" fontId="9" fillId="0" borderId="0" xfId="8" applyAlignment="1">
      <alignment vertical="center" wrapText="1"/>
    </xf>
    <xf numFmtId="0" fontId="20" fillId="0" borderId="0" xfId="2" applyAlignment="1" applyProtection="1">
      <alignment horizontal="center" vertical="center" wrapText="1"/>
    </xf>
    <xf numFmtId="0" fontId="9" fillId="0" borderId="0" xfId="8" applyAlignment="1">
      <alignment vertical="center"/>
    </xf>
    <xf numFmtId="166" fontId="9" fillId="0" borderId="0" xfId="8" applyNumberFormat="1" applyAlignment="1">
      <alignment vertical="center"/>
    </xf>
    <xf numFmtId="166" fontId="13" fillId="39" borderId="83" xfId="8" applyNumberFormat="1" applyFont="1" applyFill="1" applyBorder="1" applyAlignment="1">
      <alignment horizontal="center" vertical="center"/>
    </xf>
    <xf numFmtId="49" fontId="13" fillId="39" borderId="84" xfId="8" applyNumberFormat="1" applyFont="1" applyFill="1" applyBorder="1" applyAlignment="1">
      <alignment horizontal="center" vertical="center"/>
    </xf>
    <xf numFmtId="0" fontId="13" fillId="39" borderId="84" xfId="8" applyFont="1" applyFill="1" applyBorder="1" applyAlignment="1">
      <alignment horizontal="center" vertical="center" wrapText="1"/>
    </xf>
    <xf numFmtId="0" fontId="13" fillId="39" borderId="85" xfId="8" applyFont="1" applyFill="1" applyBorder="1" applyAlignment="1">
      <alignment horizontal="center" vertical="center" wrapText="1"/>
    </xf>
    <xf numFmtId="0" fontId="20" fillId="0" borderId="0" xfId="2" applyBorder="1" applyAlignment="1" applyProtection="1">
      <alignment vertical="center" wrapText="1"/>
    </xf>
    <xf numFmtId="0" fontId="70" fillId="0" borderId="0" xfId="8" applyFont="1" applyAlignment="1">
      <alignment vertical="center" wrapText="1"/>
    </xf>
    <xf numFmtId="0" fontId="11" fillId="0" borderId="0" xfId="8" applyFont="1" applyAlignment="1">
      <alignment vertical="center" wrapText="1"/>
    </xf>
    <xf numFmtId="0" fontId="11" fillId="0" borderId="0" xfId="8" applyFont="1" applyAlignment="1">
      <alignment vertical="center"/>
    </xf>
    <xf numFmtId="0" fontId="74" fillId="0" borderId="54" xfId="0" applyFont="1" applyBorder="1" applyAlignment="1">
      <alignment horizontal="center" vertical="center" wrapText="1"/>
    </xf>
    <xf numFmtId="3" fontId="11" fillId="56" borderId="83" xfId="9" applyNumberFormat="1" applyFont="1" applyFill="1" applyBorder="1" applyAlignment="1">
      <alignment horizontal="center" vertical="center" wrapText="1"/>
    </xf>
    <xf numFmtId="0" fontId="11" fillId="56" borderId="84" xfId="9" applyFont="1" applyFill="1" applyBorder="1" applyAlignment="1">
      <alignment horizontal="center" vertical="center" wrapText="1"/>
    </xf>
    <xf numFmtId="0" fontId="55" fillId="56" borderId="84" xfId="9" applyFont="1" applyFill="1" applyBorder="1" applyAlignment="1">
      <alignment horizontal="center" vertical="center" wrapText="1"/>
    </xf>
    <xf numFmtId="3" fontId="11" fillId="56" borderId="85" xfId="9" applyNumberFormat="1" applyFont="1" applyFill="1" applyBorder="1" applyAlignment="1">
      <alignment horizontal="center" vertical="center" wrapText="1"/>
    </xf>
    <xf numFmtId="167" fontId="9" fillId="7" borderId="0" xfId="0" applyNumberFormat="1" applyFont="1" applyFill="1" applyAlignment="1">
      <alignment horizontal="center" vertical="center" wrapText="1"/>
    </xf>
    <xf numFmtId="167" fontId="9" fillId="48" borderId="0" xfId="0" applyNumberFormat="1" applyFont="1" applyFill="1" applyAlignment="1">
      <alignment horizontal="center" vertical="center" wrapText="1"/>
    </xf>
    <xf numFmtId="167" fontId="9" fillId="49" borderId="0" xfId="0" applyNumberFormat="1" applyFont="1" applyFill="1" applyAlignment="1">
      <alignment horizontal="center" vertical="center" wrapText="1"/>
    </xf>
    <xf numFmtId="167" fontId="9" fillId="57" borderId="0" xfId="0" applyNumberFormat="1" applyFont="1" applyFill="1" applyAlignment="1">
      <alignment horizontal="center" vertical="center" wrapText="1"/>
    </xf>
    <xf numFmtId="167" fontId="9" fillId="50" borderId="0" xfId="0" applyNumberFormat="1" applyFont="1" applyFill="1" applyAlignment="1">
      <alignment horizontal="center" vertical="center" wrapText="1"/>
    </xf>
    <xf numFmtId="167" fontId="9" fillId="51" borderId="0" xfId="0" applyNumberFormat="1" applyFont="1" applyFill="1" applyAlignment="1">
      <alignment horizontal="center" vertical="center" wrapText="1"/>
    </xf>
    <xf numFmtId="3" fontId="30" fillId="0" borderId="89" xfId="9" applyNumberFormat="1" applyFont="1" applyBorder="1" applyAlignment="1">
      <alignment vertical="center"/>
    </xf>
    <xf numFmtId="166" fontId="30" fillId="0" borderId="90" xfId="9" applyNumberFormat="1" applyFont="1" applyBorder="1" applyAlignment="1">
      <alignment vertical="center"/>
    </xf>
    <xf numFmtId="165" fontId="30" fillId="0" borderId="90" xfId="9" applyNumberFormat="1" applyFont="1" applyBorder="1" applyAlignment="1">
      <alignment vertical="center"/>
    </xf>
    <xf numFmtId="0" fontId="74" fillId="0" borderId="87" xfId="0" applyFont="1" applyBorder="1" applyAlignment="1">
      <alignment horizontal="right" vertical="center" wrapText="1"/>
    </xf>
    <xf numFmtId="0" fontId="72" fillId="0" borderId="92" xfId="0" applyFont="1" applyBorder="1" applyAlignment="1">
      <alignment horizontal="center" vertical="center" wrapText="1"/>
    </xf>
    <xf numFmtId="0" fontId="76" fillId="52" borderId="93" xfId="0" applyFont="1" applyFill="1" applyBorder="1" applyAlignment="1">
      <alignment horizontal="center" vertical="center" wrapText="1"/>
    </xf>
    <xf numFmtId="0" fontId="72" fillId="0" borderId="93" xfId="0" applyFont="1" applyBorder="1" applyAlignment="1">
      <alignment horizontal="center" vertical="center" wrapText="1"/>
    </xf>
    <xf numFmtId="0" fontId="76" fillId="52" borderId="94" xfId="0" applyFont="1" applyFill="1" applyBorder="1" applyAlignment="1">
      <alignment horizontal="center" vertical="center" wrapText="1"/>
    </xf>
    <xf numFmtId="0" fontId="72" fillId="0" borderId="95" xfId="0" applyFont="1" applyBorder="1" applyAlignment="1">
      <alignment horizontal="center" vertical="center" wrapText="1"/>
    </xf>
    <xf numFmtId="0" fontId="72" fillId="0" borderId="96" xfId="0" applyFont="1" applyBorder="1" applyAlignment="1">
      <alignment horizontal="center" vertical="center" wrapText="1"/>
    </xf>
    <xf numFmtId="0" fontId="78" fillId="52" borderId="96" xfId="0" applyFont="1" applyFill="1" applyBorder="1" applyAlignment="1">
      <alignment horizontal="center" vertical="center" wrapText="1"/>
    </xf>
    <xf numFmtId="0" fontId="78" fillId="52" borderId="97" xfId="0" applyFont="1" applyFill="1" applyBorder="1" applyAlignment="1">
      <alignment horizontal="center" vertical="center" wrapText="1"/>
    </xf>
    <xf numFmtId="14" fontId="30" fillId="0" borderId="0" xfId="9" applyNumberFormat="1" applyFont="1" applyAlignment="1">
      <alignment vertical="center"/>
    </xf>
    <xf numFmtId="14" fontId="0" fillId="0" borderId="0" xfId="0" applyNumberFormat="1" applyAlignment="1">
      <alignment vertical="center" wrapText="1"/>
    </xf>
    <xf numFmtId="0" fontId="74" fillId="0" borderId="87" xfId="0" applyFont="1" applyBorder="1" applyAlignment="1">
      <alignment horizontal="center" vertical="center" wrapText="1"/>
    </xf>
    <xf numFmtId="0" fontId="80" fillId="59" borderId="100" xfId="9" applyFont="1" applyFill="1" applyBorder="1" applyAlignment="1">
      <alignment horizontal="center" vertical="center"/>
    </xf>
    <xf numFmtId="0" fontId="82" fillId="0" borderId="0" xfId="75" applyFont="1" applyAlignment="1">
      <alignment horizontal="center" vertical="top"/>
    </xf>
    <xf numFmtId="0" fontId="81" fillId="0" borderId="0" xfId="75" applyFont="1" applyAlignment="1">
      <alignment horizontal="center" vertical="top"/>
    </xf>
    <xf numFmtId="0" fontId="3" fillId="0" borderId="0" xfId="75" applyAlignment="1">
      <alignment vertical="top"/>
    </xf>
    <xf numFmtId="0" fontId="3" fillId="0" borderId="0" xfId="75" applyAlignment="1">
      <alignment horizontal="center" vertical="top"/>
    </xf>
    <xf numFmtId="14" fontId="3" fillId="0" borderId="0" xfId="75" applyNumberFormat="1" applyAlignment="1">
      <alignment horizontal="center" vertical="top"/>
    </xf>
    <xf numFmtId="0" fontId="3" fillId="0" borderId="0" xfId="75" applyAlignment="1">
      <alignment vertical="top" wrapText="1"/>
    </xf>
    <xf numFmtId="0" fontId="28" fillId="0" borderId="0" xfId="75" applyFont="1" applyAlignment="1">
      <alignment horizontal="center" vertical="top"/>
    </xf>
    <xf numFmtId="0" fontId="79" fillId="53" borderId="103" xfId="0" applyFont="1" applyFill="1" applyBorder="1" applyAlignment="1">
      <alignment horizontal="center" vertical="center" wrapText="1"/>
    </xf>
    <xf numFmtId="0" fontId="72" fillId="0" borderId="86" xfId="0" applyFont="1" applyBorder="1" applyAlignment="1">
      <alignment horizontal="center" vertical="center" wrapText="1"/>
    </xf>
    <xf numFmtId="0" fontId="72" fillId="0" borderId="35" xfId="0" applyFont="1" applyBorder="1" applyAlignment="1">
      <alignment horizontal="center" vertical="center" wrapText="1"/>
    </xf>
    <xf numFmtId="0" fontId="74" fillId="0" borderId="88" xfId="0" applyFont="1" applyBorder="1" applyAlignment="1">
      <alignment horizontal="center" vertical="center" wrapText="1"/>
    </xf>
    <xf numFmtId="0" fontId="79" fillId="53" borderId="101" xfId="0" applyFont="1" applyFill="1" applyBorder="1" applyAlignment="1">
      <alignment horizontal="center" vertical="center" wrapText="1"/>
    </xf>
    <xf numFmtId="0" fontId="79" fillId="53" borderId="102" xfId="0" applyFont="1" applyFill="1" applyBorder="1" applyAlignment="1">
      <alignment horizontal="center" vertical="center" wrapText="1"/>
    </xf>
    <xf numFmtId="165" fontId="74" fillId="0" borderId="54" xfId="0" applyNumberFormat="1" applyFont="1" applyBorder="1" applyAlignment="1">
      <alignment horizontal="center" vertical="center" wrapText="1"/>
    </xf>
    <xf numFmtId="165" fontId="75" fillId="52" borderId="54" xfId="0" applyNumberFormat="1" applyFont="1" applyFill="1" applyBorder="1" applyAlignment="1">
      <alignment horizontal="center" vertical="center" wrapText="1"/>
    </xf>
    <xf numFmtId="0" fontId="72" fillId="0" borderId="36" xfId="0" applyFont="1" applyBorder="1" applyAlignment="1">
      <alignment horizontal="center" vertical="center" wrapText="1"/>
    </xf>
    <xf numFmtId="165" fontId="75" fillId="52" borderId="88" xfId="0" applyNumberFormat="1" applyFont="1" applyFill="1" applyBorder="1" applyAlignment="1">
      <alignment horizontal="center" vertical="center" wrapText="1"/>
    </xf>
    <xf numFmtId="0" fontId="85" fillId="52" borderId="36" xfId="0" applyFont="1" applyFill="1" applyBorder="1" applyAlignment="1">
      <alignment horizontal="center" vertical="center" wrapText="1"/>
    </xf>
    <xf numFmtId="0" fontId="84" fillId="52" borderId="86" xfId="0" applyFont="1" applyFill="1" applyBorder="1" applyAlignment="1">
      <alignment horizontal="center" vertical="center" wrapText="1"/>
    </xf>
    <xf numFmtId="0" fontId="86" fillId="52" borderId="86" xfId="0" applyFont="1" applyFill="1" applyBorder="1" applyAlignment="1">
      <alignment horizontal="center" vertical="center" wrapText="1"/>
    </xf>
    <xf numFmtId="0" fontId="84" fillId="0" borderId="0" xfId="0" applyFont="1" applyAlignment="1">
      <alignment horizontal="left" vertical="center" wrapText="1"/>
    </xf>
    <xf numFmtId="0" fontId="74" fillId="0" borderId="0" xfId="0" applyFont="1" applyAlignment="1">
      <alignment horizontal="center" vertical="center" wrapText="1"/>
    </xf>
    <xf numFmtId="0" fontId="87" fillId="0" borderId="91" xfId="0" applyFont="1" applyBorder="1" applyAlignment="1">
      <alignment horizontal="center" vertical="center" wrapText="1"/>
    </xf>
    <xf numFmtId="0" fontId="87" fillId="0" borderId="86" xfId="0" applyFont="1" applyBorder="1" applyAlignment="1">
      <alignment horizontal="center" vertical="center" wrapText="1"/>
    </xf>
    <xf numFmtId="0" fontId="0" fillId="0" borderId="0" xfId="0" quotePrefix="1"/>
    <xf numFmtId="22" fontId="0" fillId="0" borderId="0" xfId="0" applyNumberFormat="1"/>
    <xf numFmtId="0" fontId="13" fillId="0" borderId="0" xfId="8" applyFont="1" applyAlignment="1">
      <alignment horizontal="center" vertical="center"/>
    </xf>
    <xf numFmtId="0" fontId="12" fillId="0" borderId="0" xfId="8" applyFont="1" applyAlignment="1">
      <alignment vertical="center"/>
    </xf>
    <xf numFmtId="0" fontId="12" fillId="0" borderId="0" xfId="8" applyFont="1" applyAlignment="1">
      <alignment horizontal="center" vertical="center"/>
    </xf>
    <xf numFmtId="0" fontId="52" fillId="0" borderId="0" xfId="8" applyFont="1" applyAlignment="1">
      <alignment horizontal="center" vertical="center"/>
    </xf>
    <xf numFmtId="168" fontId="13" fillId="0" borderId="0" xfId="8" applyNumberFormat="1" applyFont="1" applyAlignment="1">
      <alignment vertical="center"/>
    </xf>
    <xf numFmtId="0" fontId="13" fillId="0" borderId="0" xfId="8" applyFont="1" applyAlignment="1">
      <alignment vertical="center"/>
    </xf>
    <xf numFmtId="168" fontId="52" fillId="0" borderId="0" xfId="8" applyNumberFormat="1" applyFont="1" applyAlignment="1">
      <alignment horizontal="right" vertical="center"/>
    </xf>
    <xf numFmtId="168" fontId="52" fillId="0" borderId="0" xfId="8" applyNumberFormat="1" applyFont="1" applyAlignment="1">
      <alignment vertical="center"/>
    </xf>
    <xf numFmtId="168" fontId="52" fillId="0" borderId="0" xfId="8" applyNumberFormat="1" applyFont="1" applyAlignment="1">
      <alignment horizontal="left" vertical="center"/>
    </xf>
    <xf numFmtId="0" fontId="12" fillId="0" borderId="0" xfId="8" quotePrefix="1" applyFont="1" applyAlignment="1">
      <alignment horizontal="center" vertical="center"/>
    </xf>
    <xf numFmtId="168" fontId="90" fillId="62" borderId="83" xfId="8" applyNumberFormat="1" applyFont="1" applyFill="1" applyBorder="1" applyAlignment="1">
      <alignment horizontal="center" vertical="center" textRotation="90"/>
    </xf>
    <xf numFmtId="168" fontId="91" fillId="61" borderId="84" xfId="8" applyNumberFormat="1" applyFont="1" applyFill="1" applyBorder="1" applyAlignment="1">
      <alignment horizontal="left" vertical="center"/>
    </xf>
    <xf numFmtId="168" fontId="91" fillId="61" borderId="85" xfId="8" applyNumberFormat="1" applyFont="1" applyFill="1" applyBorder="1" applyAlignment="1">
      <alignment horizontal="left" vertical="center"/>
    </xf>
    <xf numFmtId="168" fontId="91" fillId="61" borderId="105" xfId="8" applyNumberFormat="1" applyFont="1" applyFill="1" applyBorder="1" applyAlignment="1">
      <alignment horizontal="left" vertical="center"/>
    </xf>
    <xf numFmtId="168" fontId="91" fillId="61" borderId="83" xfId="8" applyNumberFormat="1" applyFont="1" applyFill="1" applyBorder="1" applyAlignment="1">
      <alignment horizontal="left" vertical="center"/>
    </xf>
    <xf numFmtId="0" fontId="13" fillId="0" borderId="0" xfId="8" applyFont="1" applyAlignment="1">
      <alignment horizontal="center" vertical="center" wrapText="1"/>
    </xf>
    <xf numFmtId="0" fontId="12" fillId="0" borderId="0" xfId="8" applyFont="1" applyAlignment="1">
      <alignment vertical="center" wrapText="1"/>
    </xf>
    <xf numFmtId="0" fontId="12" fillId="0" borderId="0" xfId="8" applyFont="1" applyAlignment="1">
      <alignment horizontal="center" vertical="center" wrapText="1"/>
    </xf>
    <xf numFmtId="0" fontId="52" fillId="0" borderId="105" xfId="8" applyFont="1" applyBorder="1" applyAlignment="1">
      <alignment horizontal="center" vertical="center" wrapText="1"/>
    </xf>
    <xf numFmtId="0" fontId="52" fillId="0" borderId="0" xfId="8" applyFont="1" applyAlignment="1">
      <alignment horizontal="center" vertical="center" wrapText="1"/>
    </xf>
    <xf numFmtId="166" fontId="52" fillId="0" borderId="71" xfId="8" applyNumberFormat="1" applyFont="1" applyBorder="1" applyAlignment="1">
      <alignment vertical="center" wrapText="1"/>
    </xf>
    <xf numFmtId="0" fontId="52" fillId="0" borderId="0" xfId="8" applyFont="1" applyAlignment="1">
      <alignment vertical="center" wrapText="1"/>
    </xf>
    <xf numFmtId="166" fontId="52" fillId="0" borderId="0" xfId="8" applyNumberFormat="1" applyFont="1" applyAlignment="1">
      <alignment vertical="center" wrapText="1"/>
    </xf>
    <xf numFmtId="168" fontId="52" fillId="0" borderId="23" xfId="8" applyNumberFormat="1" applyFont="1" applyBorder="1" applyAlignment="1">
      <alignment vertical="center" wrapText="1"/>
    </xf>
    <xf numFmtId="4" fontId="52" fillId="0" borderId="0" xfId="8" applyNumberFormat="1" applyFont="1" applyAlignment="1">
      <alignment horizontal="left" vertical="center" wrapText="1"/>
    </xf>
    <xf numFmtId="0" fontId="93" fillId="40" borderId="107" xfId="2" applyFont="1" applyFill="1" applyBorder="1" applyAlignment="1" applyProtection="1">
      <alignment vertical="center"/>
    </xf>
    <xf numFmtId="0" fontId="52" fillId="0" borderId="0" xfId="8" applyFont="1" applyAlignment="1">
      <alignment vertical="center"/>
    </xf>
    <xf numFmtId="3" fontId="52" fillId="0" borderId="0" xfId="8" applyNumberFormat="1" applyFont="1" applyAlignment="1">
      <alignment horizontal="center" vertical="center"/>
    </xf>
    <xf numFmtId="3" fontId="52" fillId="0" borderId="23" xfId="8" applyNumberFormat="1" applyFont="1" applyBorder="1" applyAlignment="1">
      <alignment horizontal="center" vertical="center"/>
    </xf>
    <xf numFmtId="0" fontId="93" fillId="40" borderId="107" xfId="2" applyFont="1" applyFill="1" applyBorder="1" applyAlignment="1" applyProtection="1">
      <alignment horizontal="left" vertical="center"/>
    </xf>
    <xf numFmtId="4" fontId="93" fillId="0" borderId="0" xfId="2" applyNumberFormat="1" applyFont="1" applyBorder="1" applyAlignment="1" applyProtection="1">
      <alignment horizontal="center" vertical="center" wrapText="1"/>
    </xf>
    <xf numFmtId="168" fontId="52" fillId="0" borderId="108" xfId="8" applyNumberFormat="1" applyFont="1" applyBorder="1" applyAlignment="1">
      <alignment vertical="center"/>
    </xf>
    <xf numFmtId="168" fontId="52" fillId="0" borderId="109" xfId="8" applyNumberFormat="1" applyFont="1" applyBorder="1" applyAlignment="1">
      <alignment vertical="center"/>
    </xf>
    <xf numFmtId="168" fontId="52" fillId="0" borderId="110" xfId="8" applyNumberFormat="1" applyFont="1" applyBorder="1" applyAlignment="1">
      <alignment horizontal="left" vertical="center" wrapText="1"/>
    </xf>
    <xf numFmtId="168" fontId="52" fillId="0" borderId="109" xfId="8" applyNumberFormat="1" applyFont="1" applyBorder="1" applyAlignment="1">
      <alignment horizontal="left" vertical="center" wrapText="1"/>
    </xf>
    <xf numFmtId="168" fontId="52" fillId="0" borderId="108" xfId="8" applyNumberFormat="1" applyFont="1" applyBorder="1" applyAlignment="1">
      <alignment horizontal="left" vertical="center" wrapText="1"/>
    </xf>
    <xf numFmtId="168" fontId="52" fillId="0" borderId="111" xfId="8" applyNumberFormat="1" applyFont="1" applyBorder="1" applyAlignment="1">
      <alignment horizontal="left" vertical="center" wrapText="1"/>
    </xf>
    <xf numFmtId="0" fontId="93" fillId="40" borderId="107" xfId="2" applyFont="1" applyFill="1" applyBorder="1" applyAlignment="1" applyProtection="1">
      <alignment horizontal="center" vertical="center" wrapText="1"/>
    </xf>
    <xf numFmtId="0" fontId="93" fillId="0" borderId="0" xfId="2" applyFont="1" applyFill="1" applyBorder="1" applyAlignment="1" applyProtection="1">
      <alignment vertical="center"/>
    </xf>
    <xf numFmtId="0" fontId="93" fillId="40" borderId="114" xfId="2" applyFont="1" applyFill="1" applyBorder="1" applyAlignment="1" applyProtection="1">
      <alignment horizontal="left" vertical="center"/>
    </xf>
    <xf numFmtId="4" fontId="94" fillId="0" borderId="0" xfId="2" applyNumberFormat="1" applyFont="1" applyBorder="1" applyAlignment="1" applyProtection="1">
      <alignment horizontal="left" vertical="center"/>
    </xf>
    <xf numFmtId="168" fontId="95" fillId="0" borderId="0" xfId="8" applyNumberFormat="1" applyFont="1" applyAlignment="1">
      <alignment horizontal="left" vertical="center" wrapText="1"/>
    </xf>
    <xf numFmtId="168" fontId="52" fillId="0" borderId="0" xfId="8" applyNumberFormat="1" applyFont="1" applyAlignment="1">
      <alignment horizontal="left" vertical="center" wrapText="1"/>
    </xf>
    <xf numFmtId="168" fontId="52" fillId="0" borderId="23" xfId="8" applyNumberFormat="1" applyFont="1" applyBorder="1" applyAlignment="1">
      <alignment horizontal="left" vertical="center" wrapText="1"/>
    </xf>
    <xf numFmtId="0" fontId="13" fillId="64" borderId="0" xfId="8" applyFont="1" applyFill="1" applyAlignment="1">
      <alignment horizontal="center" vertical="center" wrapText="1"/>
    </xf>
    <xf numFmtId="4" fontId="89" fillId="65" borderId="0" xfId="8" applyNumberFormat="1" applyFont="1" applyFill="1" applyAlignment="1">
      <alignment horizontal="center" vertical="center" wrapText="1"/>
    </xf>
    <xf numFmtId="4" fontId="89" fillId="65" borderId="0" xfId="8" applyNumberFormat="1" applyFont="1" applyFill="1" applyAlignment="1">
      <alignment vertical="center" wrapText="1"/>
    </xf>
    <xf numFmtId="0" fontId="52" fillId="66" borderId="83" xfId="8" applyFont="1" applyFill="1" applyBorder="1" applyAlignment="1">
      <alignment horizontal="left" vertical="center" indent="2"/>
    </xf>
    <xf numFmtId="0" fontId="52" fillId="66" borderId="84" xfId="8" applyFont="1" applyFill="1" applyBorder="1" applyAlignment="1">
      <alignment horizontal="centerContinuous" vertical="center"/>
    </xf>
    <xf numFmtId="0" fontId="52" fillId="66" borderId="84" xfId="8" applyFont="1" applyFill="1" applyBorder="1" applyAlignment="1">
      <alignment horizontal="center" vertical="center" wrapText="1"/>
    </xf>
    <xf numFmtId="0" fontId="52" fillId="66" borderId="105" xfId="8" applyFont="1" applyFill="1" applyBorder="1" applyAlignment="1">
      <alignment horizontal="center" vertical="center" wrapText="1"/>
    </xf>
    <xf numFmtId="166" fontId="52" fillId="66" borderId="85" xfId="8" applyNumberFormat="1" applyFont="1" applyFill="1" applyBorder="1" applyAlignment="1">
      <alignment horizontal="center" vertical="center"/>
    </xf>
    <xf numFmtId="168" fontId="52" fillId="0" borderId="23" xfId="8" applyNumberFormat="1" applyFont="1" applyBorder="1" applyAlignment="1">
      <alignment vertical="center"/>
    </xf>
    <xf numFmtId="4" fontId="89" fillId="61" borderId="0" xfId="8" applyNumberFormat="1" applyFont="1" applyFill="1" applyAlignment="1">
      <alignment vertical="center"/>
    </xf>
    <xf numFmtId="4" fontId="89" fillId="61" borderId="0" xfId="8" applyNumberFormat="1" applyFont="1" applyFill="1" applyAlignment="1">
      <alignment horizontal="center" vertical="center"/>
    </xf>
    <xf numFmtId="4" fontId="89" fillId="61" borderId="0" xfId="8" applyNumberFormat="1" applyFont="1" applyFill="1" applyAlignment="1">
      <alignment horizontal="center" vertical="center" wrapText="1"/>
    </xf>
    <xf numFmtId="4" fontId="96" fillId="61" borderId="0" xfId="8" applyNumberFormat="1" applyFont="1" applyFill="1" applyAlignment="1">
      <alignment horizontal="center" vertical="center" wrapText="1"/>
    </xf>
    <xf numFmtId="4" fontId="89" fillId="61" borderId="104" xfId="8" applyNumberFormat="1" applyFont="1" applyFill="1" applyBorder="1" applyAlignment="1">
      <alignment horizontal="left" vertical="center"/>
    </xf>
    <xf numFmtId="4" fontId="89" fillId="61" borderId="0" xfId="8" applyNumberFormat="1" applyFont="1" applyFill="1" applyAlignment="1">
      <alignment horizontal="left" vertical="center"/>
    </xf>
    <xf numFmtId="4" fontId="89" fillId="61" borderId="0" xfId="8" applyNumberFormat="1" applyFont="1" applyFill="1" applyAlignment="1">
      <alignment horizontal="right" vertical="center" wrapText="1"/>
    </xf>
    <xf numFmtId="168" fontId="89" fillId="61" borderId="107" xfId="8" applyNumberFormat="1" applyFont="1" applyFill="1" applyBorder="1" applyAlignment="1">
      <alignment horizontal="center" vertical="center" wrapText="1"/>
    </xf>
    <xf numFmtId="168" fontId="97" fillId="63" borderId="0" xfId="2" applyNumberFormat="1" applyFont="1" applyFill="1" applyBorder="1" applyAlignment="1" applyProtection="1">
      <alignment horizontal="left" vertical="center"/>
    </xf>
    <xf numFmtId="0" fontId="98" fillId="0" borderId="0" xfId="2" applyFont="1" applyFill="1" applyBorder="1" applyAlignment="1" applyProtection="1">
      <alignment vertical="center"/>
    </xf>
    <xf numFmtId="0" fontId="98" fillId="0" borderId="0" xfId="2" applyFont="1" applyFill="1" applyBorder="1" applyAlignment="1" applyProtection="1">
      <alignment horizontal="center" vertical="center"/>
    </xf>
    <xf numFmtId="0" fontId="99" fillId="0" borderId="0" xfId="2" applyFont="1" applyFill="1" applyBorder="1" applyAlignment="1" applyProtection="1">
      <alignment horizontal="center" vertical="center"/>
    </xf>
    <xf numFmtId="0" fontId="52" fillId="0" borderId="104" xfId="8" applyFont="1" applyBorder="1" applyAlignment="1">
      <alignment horizontal="center" vertical="center"/>
    </xf>
    <xf numFmtId="4" fontId="93" fillId="0" borderId="0" xfId="2" applyNumberFormat="1" applyFont="1" applyFill="1" applyBorder="1" applyAlignment="1" applyProtection="1">
      <alignment vertical="center"/>
    </xf>
    <xf numFmtId="174" fontId="52" fillId="0" borderId="0" xfId="51" applyNumberFormat="1" applyFont="1" applyBorder="1" applyAlignment="1">
      <alignment horizontal="center" vertical="center"/>
    </xf>
    <xf numFmtId="174" fontId="52" fillId="0" borderId="0" xfId="51" applyNumberFormat="1" applyFont="1" applyBorder="1" applyAlignment="1">
      <alignment horizontal="right" vertical="center"/>
    </xf>
    <xf numFmtId="174" fontId="52" fillId="0" borderId="0" xfId="51" applyNumberFormat="1" applyFont="1" applyBorder="1" applyAlignment="1">
      <alignment vertical="center"/>
    </xf>
    <xf numFmtId="164" fontId="52" fillId="0" borderId="107" xfId="8" applyNumberFormat="1" applyFont="1" applyBorder="1" applyAlignment="1">
      <alignment vertical="center"/>
    </xf>
    <xf numFmtId="168" fontId="52" fillId="0" borderId="0" xfId="2" applyNumberFormat="1" applyFont="1" applyFill="1" applyBorder="1" applyAlignment="1" applyProtection="1">
      <alignment vertical="center" wrapText="1"/>
    </xf>
    <xf numFmtId="168" fontId="52" fillId="0" borderId="15" xfId="2" applyNumberFormat="1" applyFont="1" applyFill="1" applyBorder="1" applyAlignment="1" applyProtection="1">
      <alignment vertical="center" wrapText="1"/>
    </xf>
    <xf numFmtId="168" fontId="52" fillId="0" borderId="23" xfId="2" applyNumberFormat="1" applyFont="1" applyFill="1" applyBorder="1" applyAlignment="1" applyProtection="1">
      <alignment vertical="center" wrapText="1"/>
    </xf>
    <xf numFmtId="168" fontId="52" fillId="0" borderId="93" xfId="2" applyNumberFormat="1" applyFont="1" applyFill="1" applyBorder="1" applyAlignment="1" applyProtection="1">
      <alignment vertical="center" wrapText="1"/>
    </xf>
    <xf numFmtId="14" fontId="9" fillId="0" borderId="0" xfId="8" applyNumberFormat="1"/>
    <xf numFmtId="4" fontId="100" fillId="61" borderId="0" xfId="8" applyNumberFormat="1" applyFont="1" applyFill="1" applyAlignment="1">
      <alignment horizontal="center" vertical="center"/>
    </xf>
    <xf numFmtId="4" fontId="96" fillId="61" borderId="0" xfId="8" applyNumberFormat="1" applyFont="1" applyFill="1" applyAlignment="1">
      <alignment horizontal="center" vertical="center"/>
    </xf>
    <xf numFmtId="4" fontId="89" fillId="61" borderId="106" xfId="8" applyNumberFormat="1" applyFont="1" applyFill="1" applyBorder="1" applyAlignment="1">
      <alignment vertical="center"/>
    </xf>
    <xf numFmtId="4" fontId="89" fillId="61" borderId="105" xfId="8" applyNumberFormat="1" applyFont="1" applyFill="1" applyBorder="1" applyAlignment="1">
      <alignment vertical="center"/>
    </xf>
    <xf numFmtId="4" fontId="89" fillId="61" borderId="105" xfId="8" applyNumberFormat="1" applyFont="1" applyFill="1" applyBorder="1" applyAlignment="1">
      <alignment horizontal="right" vertical="center"/>
    </xf>
    <xf numFmtId="4" fontId="89" fillId="61" borderId="0" xfId="8" applyNumberFormat="1" applyFont="1" applyFill="1" applyAlignment="1">
      <alignment horizontal="right" vertical="center"/>
    </xf>
    <xf numFmtId="164" fontId="89" fillId="61" borderId="71" xfId="8" applyNumberFormat="1" applyFont="1" applyFill="1" applyBorder="1" applyAlignment="1">
      <alignment vertical="center"/>
    </xf>
    <xf numFmtId="168" fontId="52" fillId="63" borderId="15" xfId="2" applyNumberFormat="1" applyFont="1" applyFill="1" applyBorder="1" applyAlignment="1" applyProtection="1">
      <alignment vertical="center" wrapText="1"/>
    </xf>
    <xf numFmtId="168" fontId="52" fillId="63" borderId="23" xfId="2" applyNumberFormat="1" applyFont="1" applyFill="1" applyBorder="1" applyAlignment="1" applyProtection="1">
      <alignment vertical="center" wrapText="1"/>
    </xf>
    <xf numFmtId="168" fontId="52" fillId="63" borderId="15" xfId="8" applyNumberFormat="1" applyFont="1" applyFill="1" applyBorder="1" applyAlignment="1">
      <alignment horizontal="right" vertical="center"/>
    </xf>
    <xf numFmtId="168" fontId="52" fillId="63" borderId="0" xfId="8" applyNumberFormat="1" applyFont="1" applyFill="1" applyAlignment="1">
      <alignment vertical="center"/>
    </xf>
    <xf numFmtId="168" fontId="52" fillId="63" borderId="23" xfId="8" applyNumberFormat="1" applyFont="1" applyFill="1" applyBorder="1" applyAlignment="1">
      <alignment vertical="center"/>
    </xf>
    <xf numFmtId="168" fontId="52" fillId="63" borderId="15" xfId="8" applyNumberFormat="1" applyFont="1" applyFill="1" applyBorder="1" applyAlignment="1">
      <alignment vertical="center"/>
    </xf>
    <xf numFmtId="168" fontId="52" fillId="63" borderId="93" xfId="8" applyNumberFormat="1" applyFont="1" applyFill="1" applyBorder="1" applyAlignment="1">
      <alignment vertical="center"/>
    </xf>
    <xf numFmtId="4" fontId="98" fillId="0" borderId="0" xfId="2" applyNumberFormat="1" applyFont="1" applyFill="1" applyBorder="1" applyAlignment="1" applyProtection="1">
      <alignment vertical="center"/>
    </xf>
    <xf numFmtId="4" fontId="98" fillId="0" borderId="0" xfId="2" applyNumberFormat="1" applyFont="1" applyFill="1" applyBorder="1" applyAlignment="1" applyProtection="1">
      <alignment horizontal="center" vertical="center"/>
    </xf>
    <xf numFmtId="170" fontId="101" fillId="0" borderId="104" xfId="1" applyNumberFormat="1" applyFont="1" applyFill="1" applyBorder="1" applyAlignment="1" applyProtection="1">
      <alignment horizontal="center" vertical="center" wrapText="1"/>
    </xf>
    <xf numFmtId="170" fontId="101" fillId="0" borderId="112" xfId="1" applyNumberFormat="1" applyFont="1" applyFill="1" applyBorder="1" applyAlignment="1" applyProtection="1">
      <alignment horizontal="center" vertical="center" wrapText="1"/>
    </xf>
    <xf numFmtId="4" fontId="93" fillId="0" borderId="113" xfId="2" applyNumberFormat="1" applyFont="1" applyFill="1" applyBorder="1" applyAlignment="1" applyProtection="1">
      <alignment vertical="center"/>
    </xf>
    <xf numFmtId="174" fontId="52" fillId="0" borderId="113" xfId="51" applyNumberFormat="1" applyFont="1" applyBorder="1" applyAlignment="1">
      <alignment horizontal="center" vertical="center"/>
    </xf>
    <xf numFmtId="164" fontId="52" fillId="0" borderId="114" xfId="8" applyNumberFormat="1" applyFont="1" applyBorder="1" applyAlignment="1">
      <alignment vertical="center"/>
    </xf>
    <xf numFmtId="0" fontId="89" fillId="61" borderId="0" xfId="8" applyFont="1" applyFill="1" applyAlignment="1">
      <alignment horizontal="center" vertical="center"/>
    </xf>
    <xf numFmtId="4" fontId="89" fillId="61" borderId="104" xfId="8" applyNumberFormat="1" applyFont="1" applyFill="1" applyBorder="1" applyAlignment="1">
      <alignment vertical="center"/>
    </xf>
    <xf numFmtId="164" fontId="89" fillId="61" borderId="107" xfId="8" applyNumberFormat="1" applyFont="1" applyFill="1" applyBorder="1" applyAlignment="1">
      <alignment vertical="center"/>
    </xf>
    <xf numFmtId="0" fontId="9" fillId="0" borderId="104" xfId="8" applyBorder="1"/>
    <xf numFmtId="0" fontId="89" fillId="61" borderId="0" xfId="8" applyFont="1" applyFill="1" applyAlignment="1">
      <alignment vertical="center"/>
    </xf>
    <xf numFmtId="0" fontId="96" fillId="61" borderId="0" xfId="8" applyFont="1" applyFill="1" applyAlignment="1">
      <alignment horizontal="center" vertical="center"/>
    </xf>
    <xf numFmtId="0" fontId="89" fillId="61" borderId="105" xfId="8" applyFont="1" applyFill="1" applyBorder="1" applyAlignment="1">
      <alignment vertical="center"/>
    </xf>
    <xf numFmtId="170" fontId="102" fillId="0" borderId="104" xfId="1" applyNumberFormat="1" applyFont="1" applyBorder="1" applyAlignment="1">
      <alignment horizontal="center" vertical="center"/>
    </xf>
    <xf numFmtId="170" fontId="102" fillId="0" borderId="112" xfId="1" applyNumberFormat="1" applyFont="1" applyBorder="1" applyAlignment="1">
      <alignment horizontal="center" vertical="center"/>
    </xf>
    <xf numFmtId="4" fontId="103" fillId="61" borderId="0" xfId="8" applyNumberFormat="1" applyFont="1" applyFill="1" applyAlignment="1">
      <alignment vertical="center"/>
    </xf>
    <xf numFmtId="4" fontId="89" fillId="61" borderId="112" xfId="8" applyNumberFormat="1" applyFont="1" applyFill="1" applyBorder="1" applyAlignment="1">
      <alignment vertical="center"/>
    </xf>
    <xf numFmtId="4" fontId="89" fillId="61" borderId="113" xfId="8" applyNumberFormat="1" applyFont="1" applyFill="1" applyBorder="1" applyAlignment="1">
      <alignment vertical="center"/>
    </xf>
    <xf numFmtId="4" fontId="89" fillId="61" borderId="113" xfId="8" applyNumberFormat="1" applyFont="1" applyFill="1" applyBorder="1" applyAlignment="1">
      <alignment horizontal="right" vertical="center"/>
    </xf>
    <xf numFmtId="164" fontId="89" fillId="61" borderId="114" xfId="8" applyNumberFormat="1" applyFont="1" applyFill="1" applyBorder="1" applyAlignment="1">
      <alignment vertical="center"/>
    </xf>
    <xf numFmtId="0" fontId="52" fillId="8" borderId="104" xfId="8" applyFont="1" applyFill="1" applyBorder="1" applyAlignment="1">
      <alignment horizontal="center" vertical="center"/>
    </xf>
    <xf numFmtId="168" fontId="52" fillId="0" borderId="23" xfId="2" applyNumberFormat="1" applyFont="1" applyFill="1" applyBorder="1" applyAlignment="1" applyProtection="1">
      <alignment horizontal="center" vertical="center" wrapText="1"/>
    </xf>
    <xf numFmtId="168" fontId="52" fillId="0" borderId="93" xfId="2" applyNumberFormat="1" applyFont="1" applyFill="1" applyBorder="1" applyAlignment="1" applyProtection="1">
      <alignment horizontal="center" vertical="center" wrapText="1"/>
    </xf>
    <xf numFmtId="174" fontId="52" fillId="0" borderId="113" xfId="51" applyNumberFormat="1" applyFont="1" applyBorder="1" applyAlignment="1">
      <alignment vertical="center"/>
    </xf>
    <xf numFmtId="4" fontId="89" fillId="67" borderId="0" xfId="8" applyNumberFormat="1" applyFont="1" applyFill="1" applyAlignment="1">
      <alignment vertical="center"/>
    </xf>
    <xf numFmtId="4" fontId="89" fillId="67" borderId="0" xfId="8" applyNumberFormat="1" applyFont="1" applyFill="1" applyAlignment="1">
      <alignment horizontal="right" vertical="center"/>
    </xf>
    <xf numFmtId="164" fontId="89" fillId="67" borderId="107" xfId="8" applyNumberFormat="1" applyFont="1" applyFill="1" applyBorder="1" applyAlignment="1">
      <alignment vertical="center"/>
    </xf>
    <xf numFmtId="174" fontId="52" fillId="0" borderId="113" xfId="51" applyNumberFormat="1" applyFont="1" applyBorder="1" applyAlignment="1">
      <alignment horizontal="right" vertical="center"/>
    </xf>
    <xf numFmtId="4" fontId="89" fillId="67" borderId="105" xfId="8" applyNumberFormat="1" applyFont="1" applyFill="1" applyBorder="1" applyAlignment="1">
      <alignment vertical="center"/>
    </xf>
    <xf numFmtId="4" fontId="89" fillId="67" borderId="105" xfId="8" applyNumberFormat="1" applyFont="1" applyFill="1" applyBorder="1" applyAlignment="1">
      <alignment horizontal="right" vertical="center"/>
    </xf>
    <xf numFmtId="0" fontId="98" fillId="0" borderId="0" xfId="2" applyFont="1" applyBorder="1" applyAlignment="1" applyProtection="1">
      <alignment vertical="center"/>
    </xf>
    <xf numFmtId="0" fontId="98" fillId="0" borderId="0" xfId="2" applyFont="1" applyBorder="1" applyAlignment="1" applyProtection="1">
      <alignment horizontal="center" vertical="center"/>
    </xf>
    <xf numFmtId="0" fontId="93" fillId="0" borderId="0" xfId="2" applyFont="1" applyBorder="1" applyAlignment="1" applyProtection="1">
      <alignment vertical="center"/>
    </xf>
    <xf numFmtId="0" fontId="52" fillId="0" borderId="112" xfId="8" applyFont="1" applyBorder="1" applyAlignment="1">
      <alignment horizontal="center" vertical="center"/>
    </xf>
    <xf numFmtId="0" fontId="93" fillId="0" borderId="113" xfId="2" applyFont="1" applyFill="1" applyBorder="1" applyAlignment="1" applyProtection="1">
      <alignment vertical="center"/>
    </xf>
    <xf numFmtId="170" fontId="104" fillId="0" borderId="104" xfId="1" applyNumberFormat="1" applyFont="1" applyBorder="1" applyAlignment="1">
      <alignment vertical="center"/>
    </xf>
    <xf numFmtId="170" fontId="105" fillId="0" borderId="104" xfId="1" applyNumberFormat="1" applyFont="1" applyFill="1" applyBorder="1" applyAlignment="1" applyProtection="1">
      <alignment horizontal="center" vertical="center" wrapText="1"/>
    </xf>
    <xf numFmtId="168" fontId="20" fillId="0" borderId="23" xfId="2" applyNumberFormat="1" applyFill="1" applyBorder="1" applyAlignment="1" applyProtection="1">
      <alignment vertical="center" wrapText="1"/>
    </xf>
    <xf numFmtId="164" fontId="89" fillId="67" borderId="114" xfId="8" applyNumberFormat="1" applyFont="1" applyFill="1" applyBorder="1" applyAlignment="1">
      <alignment vertical="center"/>
    </xf>
    <xf numFmtId="4" fontId="89" fillId="67" borderId="113" xfId="8" applyNumberFormat="1" applyFont="1" applyFill="1" applyBorder="1" applyAlignment="1">
      <alignment horizontal="right" vertical="center"/>
    </xf>
    <xf numFmtId="4" fontId="89" fillId="0" borderId="104" xfId="8" applyNumberFormat="1" applyFont="1" applyBorder="1" applyAlignment="1">
      <alignment horizontal="left" vertical="center"/>
    </xf>
    <xf numFmtId="164" fontId="52" fillId="0" borderId="0" xfId="8" applyNumberFormat="1" applyFont="1" applyAlignment="1">
      <alignment horizontal="center" vertical="center"/>
    </xf>
    <xf numFmtId="4" fontId="52" fillId="0" borderId="0" xfId="8" applyNumberFormat="1" applyFont="1" applyAlignment="1">
      <alignment horizontal="center" vertical="center"/>
    </xf>
    <xf numFmtId="168" fontId="52" fillId="0" borderId="15" xfId="8" applyNumberFormat="1" applyFont="1" applyBorder="1" applyAlignment="1">
      <alignment vertical="center"/>
    </xf>
    <xf numFmtId="170" fontId="102" fillId="0" borderId="104" xfId="1" applyNumberFormat="1" applyFont="1" applyFill="1" applyBorder="1" applyAlignment="1">
      <alignment horizontal="center" vertical="center"/>
    </xf>
    <xf numFmtId="174" fontId="52" fillId="0" borderId="0" xfId="51" applyNumberFormat="1" applyFont="1" applyFill="1" applyBorder="1" applyAlignment="1">
      <alignment horizontal="center" vertical="center"/>
    </xf>
    <xf numFmtId="164" fontId="52" fillId="0" borderId="107" xfId="2" applyNumberFormat="1" applyFont="1" applyFill="1" applyBorder="1" applyAlignment="1" applyProtection="1">
      <alignment vertical="center"/>
    </xf>
    <xf numFmtId="0" fontId="89" fillId="61" borderId="113" xfId="8" applyFont="1" applyFill="1" applyBorder="1" applyAlignment="1">
      <alignment vertical="center"/>
    </xf>
    <xf numFmtId="4" fontId="89" fillId="61" borderId="114" xfId="8" applyNumberFormat="1" applyFont="1" applyFill="1" applyBorder="1" applyAlignment="1">
      <alignment horizontal="right" vertical="center"/>
    </xf>
    <xf numFmtId="168" fontId="52" fillId="63" borderId="0" xfId="2" applyNumberFormat="1" applyFont="1" applyFill="1" applyBorder="1" applyAlignment="1" applyProtection="1">
      <alignment vertical="center" wrapText="1"/>
    </xf>
    <xf numFmtId="0" fontId="98" fillId="0" borderId="18" xfId="2" applyFont="1" applyFill="1" applyBorder="1" applyAlignment="1" applyProtection="1">
      <alignment vertical="center"/>
    </xf>
    <xf numFmtId="0" fontId="98" fillId="0" borderId="18" xfId="2" applyFont="1" applyFill="1" applyBorder="1" applyAlignment="1" applyProtection="1">
      <alignment horizontal="center" vertical="center"/>
    </xf>
    <xf numFmtId="0" fontId="93" fillId="0" borderId="18" xfId="2" applyFont="1" applyFill="1" applyBorder="1" applyAlignment="1" applyProtection="1">
      <alignment vertical="center"/>
    </xf>
    <xf numFmtId="170" fontId="102" fillId="0" borderId="115" xfId="1" applyNumberFormat="1" applyFont="1" applyBorder="1" applyAlignment="1">
      <alignment horizontal="center" vertical="center"/>
    </xf>
    <xf numFmtId="0" fontId="93" fillId="0" borderId="116" xfId="2" applyFont="1" applyFill="1" applyBorder="1" applyAlignment="1" applyProtection="1">
      <alignment vertical="center"/>
    </xf>
    <xf numFmtId="164" fontId="13" fillId="0" borderId="116" xfId="8" applyNumberFormat="1" applyFont="1" applyBorder="1" applyAlignment="1">
      <alignment vertical="center" wrapText="1"/>
    </xf>
    <xf numFmtId="174" fontId="52" fillId="0" borderId="18" xfId="51" applyNumberFormat="1" applyFont="1" applyBorder="1" applyAlignment="1">
      <alignment horizontal="right" vertical="center"/>
    </xf>
    <xf numFmtId="174" fontId="52" fillId="0" borderId="116" xfId="51" applyNumberFormat="1" applyFont="1" applyBorder="1" applyAlignment="1">
      <alignment vertical="center"/>
    </xf>
    <xf numFmtId="164" fontId="13" fillId="0" borderId="117" xfId="8" applyNumberFormat="1" applyFont="1" applyBorder="1" applyAlignment="1">
      <alignment vertical="center" wrapText="1"/>
    </xf>
    <xf numFmtId="168" fontId="52" fillId="0" borderId="18" xfId="8" applyNumberFormat="1" applyFont="1" applyBorder="1" applyAlignment="1">
      <alignment vertical="center" wrapText="1"/>
    </xf>
    <xf numFmtId="168" fontId="52" fillId="0" borderId="18" xfId="8" applyNumberFormat="1" applyFont="1" applyBorder="1" applyAlignment="1">
      <alignment horizontal="right" vertical="center"/>
    </xf>
    <xf numFmtId="168" fontId="52" fillId="0" borderId="18" xfId="8" applyNumberFormat="1" applyFont="1" applyBorder="1" applyAlignment="1">
      <alignment vertical="center"/>
    </xf>
    <xf numFmtId="168" fontId="52" fillId="0" borderId="25" xfId="8" applyNumberFormat="1" applyFont="1" applyBorder="1" applyAlignment="1">
      <alignment vertical="center"/>
    </xf>
    <xf numFmtId="0" fontId="89" fillId="68" borderId="118" xfId="8" applyFont="1" applyFill="1" applyBorder="1" applyAlignment="1">
      <alignment vertical="center"/>
    </xf>
    <xf numFmtId="0" fontId="89" fillId="68" borderId="119" xfId="8" applyFont="1" applyFill="1" applyBorder="1" applyAlignment="1">
      <alignment vertical="center"/>
    </xf>
    <xf numFmtId="4" fontId="89" fillId="68" borderId="120" xfId="8" applyNumberFormat="1" applyFont="1" applyFill="1" applyBorder="1" applyAlignment="1">
      <alignment horizontal="center" vertical="center" wrapText="1"/>
    </xf>
    <xf numFmtId="4" fontId="89" fillId="0" borderId="0" xfId="8" applyNumberFormat="1" applyFont="1" applyAlignment="1">
      <alignment vertical="center" wrapText="1"/>
    </xf>
    <xf numFmtId="4" fontId="13" fillId="0" borderId="121" xfId="8" applyNumberFormat="1" applyFont="1" applyBorder="1" applyAlignment="1">
      <alignment horizontal="center" vertical="center" wrapText="1"/>
    </xf>
    <xf numFmtId="4" fontId="13" fillId="0" borderId="72" xfId="8" applyNumberFormat="1" applyFont="1" applyBorder="1" applyAlignment="1">
      <alignment horizontal="left" vertical="center" wrapText="1"/>
    </xf>
    <xf numFmtId="168" fontId="52" fillId="0" borderId="104" xfId="8" applyNumberFormat="1" applyFont="1" applyBorder="1" applyAlignment="1">
      <alignment vertical="center"/>
    </xf>
    <xf numFmtId="168" fontId="52" fillId="0" borderId="42" xfId="8" applyNumberFormat="1" applyFont="1" applyBorder="1" applyAlignment="1">
      <alignment vertical="center"/>
    </xf>
    <xf numFmtId="168" fontId="52" fillId="0" borderId="0" xfId="8" applyNumberFormat="1" applyFont="1" applyAlignment="1">
      <alignment horizontal="center" vertical="center"/>
    </xf>
    <xf numFmtId="0" fontId="52" fillId="0" borderId="107" xfId="8" applyFont="1" applyBorder="1" applyAlignment="1">
      <alignment vertical="center"/>
    </xf>
    <xf numFmtId="4" fontId="52" fillId="0" borderId="0" xfId="8" applyNumberFormat="1" applyFont="1" applyAlignment="1">
      <alignment vertical="center" wrapText="1"/>
    </xf>
    <xf numFmtId="0" fontId="69" fillId="0" borderId="0" xfId="8" applyFont="1" applyAlignment="1">
      <alignment vertical="center" wrapText="1"/>
    </xf>
    <xf numFmtId="168" fontId="11" fillId="0" borderId="104" xfId="8" applyNumberFormat="1" applyFont="1" applyBorder="1" applyAlignment="1">
      <alignment vertical="center"/>
    </xf>
    <xf numFmtId="168" fontId="11" fillId="0" borderId="0" xfId="8" applyNumberFormat="1" applyFont="1" applyAlignment="1">
      <alignment vertical="center"/>
    </xf>
    <xf numFmtId="168" fontId="11" fillId="0" borderId="0" xfId="8" applyNumberFormat="1" applyFont="1" applyAlignment="1">
      <alignment horizontal="center" vertical="center"/>
    </xf>
    <xf numFmtId="0" fontId="11" fillId="0" borderId="107" xfId="8" applyFont="1" applyBorder="1" applyAlignment="1">
      <alignment vertical="center"/>
    </xf>
    <xf numFmtId="168" fontId="13" fillId="0" borderId="107" xfId="8" applyNumberFormat="1" applyFont="1" applyBorder="1" applyAlignment="1">
      <alignment vertical="center"/>
    </xf>
    <xf numFmtId="164" fontId="52" fillId="0" borderId="104" xfId="8" applyNumberFormat="1" applyFont="1" applyBorder="1" applyAlignment="1">
      <alignment vertical="center"/>
    </xf>
    <xf numFmtId="0" fontId="93" fillId="0" borderId="0" xfId="2" applyFont="1" applyFill="1" applyBorder="1" applyAlignment="1" applyProtection="1">
      <alignment horizontal="left" vertical="center"/>
    </xf>
    <xf numFmtId="164" fontId="52" fillId="0" borderId="112" xfId="8" applyNumberFormat="1" applyFont="1" applyBorder="1" applyAlignment="1">
      <alignment vertical="center"/>
    </xf>
    <xf numFmtId="0" fontId="93" fillId="0" borderId="113" xfId="2" applyFont="1" applyFill="1" applyBorder="1" applyAlignment="1" applyProtection="1">
      <alignment horizontal="left" vertical="center"/>
    </xf>
    <xf numFmtId="0" fontId="52" fillId="0" borderId="113" xfId="8" applyFont="1" applyBorder="1" applyAlignment="1">
      <alignment horizontal="center" vertical="center"/>
    </xf>
    <xf numFmtId="168" fontId="13" fillId="0" borderId="114" xfId="8" applyNumberFormat="1" applyFont="1" applyBorder="1" applyAlignment="1">
      <alignment vertical="center"/>
    </xf>
    <xf numFmtId="0" fontId="9" fillId="0" borderId="106" xfId="8" applyBorder="1"/>
    <xf numFmtId="0" fontId="9" fillId="0" borderId="105" xfId="8" applyBorder="1"/>
    <xf numFmtId="174" fontId="52" fillId="0" borderId="105" xfId="51" applyNumberFormat="1" applyFont="1" applyBorder="1" applyAlignment="1">
      <alignment horizontal="right" vertical="center"/>
    </xf>
    <xf numFmtId="174" fontId="52" fillId="0" borderId="105" xfId="51" applyNumberFormat="1" applyFont="1" applyBorder="1" applyAlignment="1">
      <alignment vertical="center"/>
    </xf>
    <xf numFmtId="164" fontId="52" fillId="0" borderId="71" xfId="8" applyNumberFormat="1" applyFont="1" applyBorder="1" applyAlignment="1">
      <alignment vertical="center"/>
    </xf>
    <xf numFmtId="0" fontId="29" fillId="36" borderId="122" xfId="9" applyFont="1" applyFill="1" applyBorder="1" applyAlignment="1">
      <alignment horizontal="center" vertical="top" wrapText="1"/>
    </xf>
    <xf numFmtId="0" fontId="29" fillId="36" borderId="123" xfId="9" applyFont="1" applyFill="1" applyBorder="1" applyAlignment="1">
      <alignment horizontal="center" vertical="top" wrapText="1"/>
    </xf>
    <xf numFmtId="0" fontId="29" fillId="36" borderId="126" xfId="9" applyFont="1" applyFill="1" applyBorder="1" applyAlignment="1">
      <alignment horizontal="center" vertical="top" wrapText="1"/>
    </xf>
    <xf numFmtId="0" fontId="29" fillId="36" borderId="127" xfId="9" applyFont="1" applyFill="1" applyBorder="1" applyAlignment="1">
      <alignment horizontal="center" vertical="top" wrapText="1"/>
    </xf>
    <xf numFmtId="0" fontId="29" fillId="37" borderId="123" xfId="9" applyFont="1" applyFill="1" applyBorder="1" applyAlignment="1">
      <alignment horizontal="center" vertical="top" wrapText="1"/>
    </xf>
    <xf numFmtId="0" fontId="29" fillId="38" borderId="122" xfId="9" applyFont="1" applyFill="1" applyBorder="1" applyAlignment="1">
      <alignment horizontal="center" vertical="top" wrapText="1"/>
    </xf>
    <xf numFmtId="0" fontId="29" fillId="38" borderId="123" xfId="9" applyFont="1" applyFill="1" applyBorder="1" applyAlignment="1">
      <alignment horizontal="center" vertical="top" wrapText="1"/>
    </xf>
    <xf numFmtId="0" fontId="29" fillId="36" borderId="124" xfId="5" applyFont="1" applyFill="1" applyBorder="1" applyAlignment="1">
      <alignment horizontal="center" vertical="top" wrapText="1"/>
    </xf>
    <xf numFmtId="0" fontId="57" fillId="69" borderId="128" xfId="49" applyFont="1" applyFill="1" applyBorder="1" applyAlignment="1">
      <alignment horizontal="center" vertical="center"/>
    </xf>
    <xf numFmtId="0" fontId="57" fillId="69" borderId="125" xfId="49" applyFont="1" applyFill="1" applyBorder="1" applyAlignment="1">
      <alignment horizontal="left" vertical="center"/>
    </xf>
    <xf numFmtId="0" fontId="57" fillId="69" borderId="125" xfId="49" applyFont="1" applyFill="1" applyBorder="1" applyAlignment="1">
      <alignment vertical="center"/>
    </xf>
    <xf numFmtId="0" fontId="57" fillId="69" borderId="123" xfId="49" applyFont="1" applyFill="1" applyBorder="1" applyAlignment="1">
      <alignment horizontal="center" vertical="center"/>
    </xf>
    <xf numFmtId="0" fontId="57" fillId="69" borderId="125" xfId="49" applyFont="1" applyFill="1" applyBorder="1" applyAlignment="1">
      <alignment horizontal="center" vertical="center"/>
    </xf>
    <xf numFmtId="44" fontId="30" fillId="69" borderId="125" xfId="0" applyNumberFormat="1" applyFont="1" applyFill="1" applyBorder="1" applyAlignment="1">
      <alignment horizontal="center" vertical="center"/>
    </xf>
    <xf numFmtId="174" fontId="1" fillId="69" borderId="125" xfId="48" applyNumberFormat="1" applyFont="1" applyFill="1" applyBorder="1" applyAlignment="1">
      <alignment vertical="center"/>
    </xf>
    <xf numFmtId="44" fontId="108" fillId="69" borderId="125" xfId="1" applyFont="1" applyFill="1" applyBorder="1" applyAlignment="1">
      <alignment horizontal="center" vertical="center"/>
    </xf>
    <xf numFmtId="174" fontId="1" fillId="69" borderId="125" xfId="48" applyNumberFormat="1" applyFont="1" applyFill="1" applyBorder="1" applyAlignment="1">
      <alignment horizontal="center" vertical="center"/>
    </xf>
    <xf numFmtId="174" fontId="108" fillId="69" borderId="125" xfId="48" applyNumberFormat="1" applyFont="1" applyFill="1" applyBorder="1" applyAlignment="1">
      <alignment vertical="center"/>
    </xf>
    <xf numFmtId="44" fontId="108" fillId="69" borderId="125" xfId="1" applyFont="1" applyFill="1" applyBorder="1" applyAlignment="1">
      <alignment vertical="center"/>
    </xf>
    <xf numFmtId="0" fontId="30" fillId="69" borderId="129" xfId="0" applyFont="1" applyFill="1" applyBorder="1" applyAlignment="1">
      <alignment vertical="center"/>
    </xf>
    <xf numFmtId="0" fontId="57" fillId="0" borderId="125" xfId="49" applyFont="1" applyBorder="1" applyAlignment="1">
      <alignment horizontal="left" vertical="center"/>
    </xf>
    <xf numFmtId="0" fontId="57" fillId="0" borderId="125" xfId="49" applyFont="1" applyBorder="1" applyAlignment="1">
      <alignment vertical="center"/>
    </xf>
    <xf numFmtId="0" fontId="57" fillId="0" borderId="125" xfId="49" applyFont="1" applyBorder="1" applyAlignment="1">
      <alignment horizontal="center" vertical="center"/>
    </xf>
    <xf numFmtId="44" fontId="30" fillId="0" borderId="125" xfId="0" applyNumberFormat="1" applyFont="1" applyBorder="1" applyAlignment="1">
      <alignment horizontal="center" vertical="center"/>
    </xf>
    <xf numFmtId="174" fontId="1" fillId="0" borderId="125" xfId="48" applyNumberFormat="1" applyFont="1" applyBorder="1" applyAlignment="1">
      <alignment vertical="center"/>
    </xf>
    <xf numFmtId="44" fontId="108" fillId="0" borderId="125" xfId="1" applyFont="1" applyBorder="1" applyAlignment="1">
      <alignment horizontal="center" vertical="center"/>
    </xf>
    <xf numFmtId="174" fontId="1" fillId="0" borderId="125" xfId="48" applyNumberFormat="1" applyFont="1" applyBorder="1" applyAlignment="1">
      <alignment horizontal="center" vertical="center"/>
    </xf>
    <xf numFmtId="174" fontId="108" fillId="0" borderId="125" xfId="48" applyNumberFormat="1" applyFont="1" applyBorder="1" applyAlignment="1">
      <alignment vertical="center"/>
    </xf>
    <xf numFmtId="44" fontId="108" fillId="0" borderId="125" xfId="1" applyFont="1" applyBorder="1" applyAlignment="1">
      <alignment vertical="center"/>
    </xf>
    <xf numFmtId="0" fontId="30" fillId="0" borderId="129" xfId="0" applyFont="1" applyBorder="1" applyAlignment="1">
      <alignment vertical="center"/>
    </xf>
    <xf numFmtId="44" fontId="57" fillId="0" borderId="125" xfId="49" applyNumberFormat="1" applyFont="1" applyBorder="1" applyAlignment="1">
      <alignment horizontal="center" vertical="center"/>
    </xf>
    <xf numFmtId="174" fontId="28" fillId="0" borderId="125" xfId="48" applyNumberFormat="1" applyFont="1" applyBorder="1" applyAlignment="1">
      <alignment vertical="center"/>
    </xf>
    <xf numFmtId="0" fontId="20" fillId="0" borderId="0" xfId="2" applyAlignment="1" applyProtection="1">
      <alignment vertical="center"/>
    </xf>
    <xf numFmtId="0" fontId="58" fillId="0" borderId="0" xfId="2" applyFont="1" applyAlignment="1" applyProtection="1">
      <alignment vertical="center"/>
    </xf>
    <xf numFmtId="0" fontId="57" fillId="70" borderId="125" xfId="49" applyFont="1" applyFill="1" applyBorder="1" applyAlignment="1">
      <alignment vertical="center"/>
    </xf>
    <xf numFmtId="0" fontId="11" fillId="71" borderId="0" xfId="0" applyFont="1" applyFill="1"/>
    <xf numFmtId="0" fontId="0" fillId="71" borderId="0" xfId="0" applyFill="1"/>
    <xf numFmtId="0" fontId="25" fillId="0" borderId="0" xfId="0" applyFont="1" applyAlignment="1">
      <alignment wrapText="1"/>
    </xf>
    <xf numFmtId="0" fontId="69" fillId="0" borderId="82" xfId="0" applyFont="1" applyBorder="1" applyAlignment="1">
      <alignment horizontal="center" vertical="center"/>
    </xf>
    <xf numFmtId="14" fontId="0" fillId="0" borderId="0" xfId="0" applyNumberFormat="1"/>
    <xf numFmtId="43" fontId="0" fillId="0" borderId="0" xfId="48" applyFont="1" applyProtection="1"/>
    <xf numFmtId="4" fontId="0" fillId="0" borderId="0" xfId="48" applyNumberFormat="1" applyFont="1" applyProtection="1"/>
    <xf numFmtId="0" fontId="11" fillId="40" borderId="76" xfId="0" applyFont="1" applyFill="1" applyBorder="1"/>
    <xf numFmtId="0" fontId="0" fillId="40" borderId="77" xfId="0" applyFill="1" applyBorder="1"/>
    <xf numFmtId="0" fontId="11" fillId="40" borderId="78" xfId="0" applyFont="1" applyFill="1" applyBorder="1"/>
    <xf numFmtId="0" fontId="0" fillId="40" borderId="79" xfId="0" applyFill="1" applyBorder="1"/>
    <xf numFmtId="14" fontId="9" fillId="0" borderId="0" xfId="9" applyNumberFormat="1" applyAlignment="1">
      <alignment vertical="center"/>
    </xf>
    <xf numFmtId="166" fontId="30" fillId="0" borderId="90" xfId="9" applyNumberFormat="1" applyFont="1" applyBorder="1" applyAlignment="1">
      <alignment horizontal="center" vertical="center"/>
    </xf>
    <xf numFmtId="44" fontId="30" fillId="34" borderId="43" xfId="1" applyFont="1" applyFill="1" applyBorder="1" applyAlignment="1">
      <alignment vertical="center"/>
    </xf>
    <xf numFmtId="0" fontId="0" fillId="0" borderId="130" xfId="0" applyBorder="1" applyAlignment="1" applyProtection="1">
      <alignment vertical="center"/>
      <protection locked="0"/>
    </xf>
    <xf numFmtId="168" fontId="90" fillId="62" borderId="130" xfId="8" applyNumberFormat="1" applyFont="1" applyFill="1" applyBorder="1" applyAlignment="1">
      <alignment horizontal="center" vertical="center" textRotation="90"/>
    </xf>
    <xf numFmtId="168" fontId="91" fillId="63" borderId="130" xfId="8" applyNumberFormat="1" applyFont="1" applyFill="1" applyBorder="1" applyAlignment="1">
      <alignment horizontal="left" vertical="center"/>
    </xf>
    <xf numFmtId="168" fontId="89" fillId="63" borderId="130" xfId="8" applyNumberFormat="1" applyFont="1" applyFill="1" applyBorder="1" applyAlignment="1">
      <alignment horizontal="left" vertical="center"/>
    </xf>
    <xf numFmtId="168" fontId="52" fillId="63" borderId="130" xfId="8" applyNumberFormat="1" applyFont="1" applyFill="1" applyBorder="1" applyAlignment="1">
      <alignment horizontal="left" vertical="center"/>
    </xf>
    <xf numFmtId="168" fontId="52" fillId="63" borderId="130" xfId="8" applyNumberFormat="1" applyFont="1" applyFill="1" applyBorder="1" applyAlignment="1">
      <alignment horizontal="left" vertical="center" wrapText="1"/>
    </xf>
    <xf numFmtId="0" fontId="52" fillId="0" borderId="130" xfId="8" applyFont="1" applyBorder="1" applyAlignment="1">
      <alignment horizontal="center" vertical="center"/>
    </xf>
    <xf numFmtId="166" fontId="9" fillId="0" borderId="130" xfId="8" applyNumberFormat="1" applyBorder="1" applyAlignment="1">
      <alignment vertical="center"/>
    </xf>
    <xf numFmtId="49" fontId="9" fillId="0" borderId="130" xfId="8" applyNumberFormat="1" applyBorder="1" applyAlignment="1">
      <alignment vertical="center"/>
    </xf>
    <xf numFmtId="0" fontId="9" fillId="7" borderId="131" xfId="0" applyFont="1" applyFill="1" applyBorder="1" applyAlignment="1">
      <alignment horizontal="center"/>
    </xf>
    <xf numFmtId="0" fontId="9" fillId="7" borderId="133" xfId="0" applyFont="1" applyFill="1" applyBorder="1" applyAlignment="1">
      <alignment horizontal="center"/>
    </xf>
    <xf numFmtId="0" fontId="0" fillId="0" borderId="131" xfId="0" applyBorder="1" applyAlignment="1">
      <alignment horizontal="center"/>
    </xf>
    <xf numFmtId="0" fontId="0" fillId="0" borderId="132" xfId="0" applyBorder="1" applyAlignment="1">
      <alignment horizontal="center"/>
    </xf>
    <xf numFmtId="0" fontId="0" fillId="0" borderId="133" xfId="0" applyBorder="1" applyAlignment="1">
      <alignment horizontal="center"/>
    </xf>
    <xf numFmtId="0" fontId="0" fillId="0" borderId="134" xfId="0" applyBorder="1" applyAlignment="1">
      <alignment horizontal="center"/>
    </xf>
    <xf numFmtId="0" fontId="9" fillId="40" borderId="131" xfId="0" applyFont="1" applyFill="1" applyBorder="1" applyAlignment="1">
      <alignment horizontal="center"/>
    </xf>
    <xf numFmtId="0" fontId="9" fillId="40" borderId="133" xfId="0" applyFont="1" applyFill="1" applyBorder="1" applyAlignment="1">
      <alignment horizontal="center"/>
    </xf>
    <xf numFmtId="0" fontId="9" fillId="40" borderId="134" xfId="0" quotePrefix="1" applyFont="1" applyFill="1" applyBorder="1" applyAlignment="1">
      <alignment wrapText="1"/>
    </xf>
    <xf numFmtId="0" fontId="52" fillId="0" borderId="141" xfId="8" applyFont="1" applyBorder="1" applyAlignment="1">
      <alignment horizontal="center" vertical="center"/>
    </xf>
    <xf numFmtId="4" fontId="13" fillId="0" borderId="131" xfId="8" applyNumberFormat="1" applyFont="1" applyBorder="1" applyAlignment="1">
      <alignment horizontal="center" vertical="center" wrapText="1"/>
    </xf>
    <xf numFmtId="4" fontId="13" fillId="0" borderId="134" xfId="8" applyNumberFormat="1" applyFont="1" applyBorder="1" applyAlignment="1">
      <alignment horizontal="left" vertical="center" wrapText="1"/>
    </xf>
    <xf numFmtId="4" fontId="13" fillId="0" borderId="142" xfId="8" applyNumberFormat="1" applyFont="1" applyBorder="1" applyAlignment="1">
      <alignment horizontal="left" vertical="center" wrapText="1"/>
    </xf>
    <xf numFmtId="0" fontId="11" fillId="40" borderId="143" xfId="0" applyFont="1" applyFill="1" applyBorder="1" applyAlignment="1">
      <alignment vertical="center" wrapText="1"/>
    </xf>
    <xf numFmtId="0" fontId="11" fillId="40" borderId="144" xfId="0" applyFont="1" applyFill="1" applyBorder="1"/>
    <xf numFmtId="0" fontId="0" fillId="40" borderId="145" xfId="0" applyFill="1" applyBorder="1"/>
    <xf numFmtId="0" fontId="9" fillId="0" borderId="0" xfId="8"/>
    <xf numFmtId="0" fontId="0" fillId="0" borderId="0" xfId="0"/>
    <xf numFmtId="0" fontId="0" fillId="0" borderId="0" xfId="0" applyAlignment="1">
      <alignment horizontal="center" vertical="center" wrapText="1"/>
    </xf>
    <xf numFmtId="0" fontId="0" fillId="0" borderId="0" xfId="0" applyAlignment="1">
      <alignment vertical="top" wrapText="1"/>
    </xf>
    <xf numFmtId="0" fontId="20" fillId="0" borderId="0" xfId="2" applyAlignment="1" applyProtection="1">
      <alignment vertical="center"/>
      <protection locked="0"/>
    </xf>
    <xf numFmtId="0" fontId="0" fillId="0" borderId="0" xfId="0" applyAlignment="1">
      <alignment vertical="center"/>
    </xf>
    <xf numFmtId="0" fontId="0" fillId="0" borderId="0" xfId="0" applyAlignment="1">
      <alignment horizontal="left" vertical="center"/>
    </xf>
    <xf numFmtId="0" fontId="11" fillId="0" borderId="0" xfId="0" applyFont="1" applyAlignment="1">
      <alignment horizontal="left" vertical="center" wrapText="1"/>
    </xf>
    <xf numFmtId="0" fontId="0" fillId="4" borderId="0" xfId="0" applyFill="1" applyAlignment="1" applyProtection="1">
      <alignment vertical="top" wrapText="1"/>
      <protection locked="0"/>
    </xf>
    <xf numFmtId="0" fontId="0" fillId="0" borderId="0" xfId="0" applyAlignment="1" applyProtection="1">
      <alignment vertical="center"/>
      <protection locked="0"/>
    </xf>
    <xf numFmtId="0" fontId="0" fillId="0" borderId="0" xfId="0" applyAlignment="1" applyProtection="1">
      <alignment wrapText="1"/>
      <protection locked="0"/>
    </xf>
    <xf numFmtId="0" fontId="18" fillId="0" borderId="0" xfId="0" applyFont="1" applyAlignment="1">
      <alignment horizontal="center" vertical="center" wrapText="1"/>
    </xf>
    <xf numFmtId="0" fontId="18" fillId="0" borderId="5" xfId="0" applyFont="1" applyBorder="1" applyAlignment="1">
      <alignment horizontal="left" vertical="center"/>
    </xf>
    <xf numFmtId="0" fontId="11" fillId="0" borderId="6" xfId="0" applyFont="1" applyBorder="1" applyAlignment="1">
      <alignment vertical="center"/>
    </xf>
    <xf numFmtId="0" fontId="11" fillId="0" borderId="14" xfId="0" applyFont="1" applyBorder="1" applyAlignment="1">
      <alignment vertical="center"/>
    </xf>
    <xf numFmtId="0" fontId="17" fillId="0" borderId="1" xfId="0" applyFont="1" applyBorder="1" applyAlignment="1">
      <alignment horizontal="left" vertical="center"/>
    </xf>
    <xf numFmtId="0" fontId="11" fillId="0" borderId="0" xfId="0" applyFont="1" applyAlignment="1">
      <alignment vertical="center"/>
    </xf>
    <xf numFmtId="0" fontId="17" fillId="0" borderId="3" xfId="0" applyFont="1" applyBorder="1" applyAlignment="1">
      <alignment horizontal="left" vertical="center"/>
    </xf>
    <xf numFmtId="0" fontId="18" fillId="0" borderId="0" xfId="0" applyFont="1" applyAlignment="1">
      <alignment horizontal="center" vertical="center"/>
    </xf>
    <xf numFmtId="0" fontId="16" fillId="0" borderId="2" xfId="0" applyFont="1" applyBorder="1" applyAlignment="1">
      <alignment horizontal="center" vertical="center"/>
    </xf>
    <xf numFmtId="0" fontId="17" fillId="0" borderId="7" xfId="0" applyFont="1" applyBorder="1" applyAlignment="1">
      <alignment horizontal="left" vertical="center"/>
    </xf>
    <xf numFmtId="14" fontId="9" fillId="0" borderId="0" xfId="10" applyNumberFormat="1" applyAlignment="1">
      <alignment horizontal="left" vertical="center"/>
    </xf>
    <xf numFmtId="0" fontId="9" fillId="0" borderId="0" xfId="0" applyFont="1" applyAlignment="1">
      <alignment horizontal="left" vertical="center"/>
    </xf>
    <xf numFmtId="0" fontId="9" fillId="0" borderId="0" xfId="10" applyAlignment="1">
      <alignment horizontal="left" vertical="center" wrapText="1"/>
    </xf>
    <xf numFmtId="0" fontId="0" fillId="0" borderId="22" xfId="0" applyBorder="1" applyAlignment="1">
      <alignment vertical="center"/>
    </xf>
    <xf numFmtId="0" fontId="9" fillId="0" borderId="0" xfId="9" applyAlignment="1">
      <alignment vertical="center" wrapText="1"/>
    </xf>
    <xf numFmtId="0" fontId="0" fillId="0" borderId="0" xfId="0" applyAlignment="1">
      <alignment vertical="center" wrapText="1"/>
    </xf>
    <xf numFmtId="14" fontId="9" fillId="0" borderId="0" xfId="10" applyNumberFormat="1" applyAlignment="1" applyProtection="1">
      <alignment horizontal="left" vertical="center"/>
      <protection locked="0"/>
    </xf>
    <xf numFmtId="4" fontId="13" fillId="0" borderId="140" xfId="8" applyNumberFormat="1" applyFont="1" applyBorder="1" applyAlignment="1">
      <alignment horizontal="center" vertical="center" wrapText="1"/>
    </xf>
    <xf numFmtId="168" fontId="52" fillId="0" borderId="15" xfId="2" applyNumberFormat="1" applyFont="1" applyFill="1" applyBorder="1" applyAlignment="1" applyProtection="1">
      <alignment horizontal="center" vertical="center" wrapText="1"/>
    </xf>
    <xf numFmtId="168" fontId="52" fillId="0" borderId="0" xfId="2" applyNumberFormat="1" applyFont="1" applyFill="1" applyBorder="1" applyAlignment="1" applyProtection="1">
      <alignment horizontal="center" vertical="center" wrapText="1"/>
    </xf>
    <xf numFmtId="4" fontId="13" fillId="0" borderId="73" xfId="8" applyNumberFormat="1" applyFont="1" applyBorder="1" applyAlignment="1">
      <alignment horizontal="center" vertical="center" wrapText="1"/>
    </xf>
    <xf numFmtId="168" fontId="52" fillId="0" borderId="0" xfId="8" applyNumberFormat="1" applyFont="1" applyAlignment="1">
      <alignment vertical="center" wrapText="1"/>
    </xf>
    <xf numFmtId="0" fontId="9" fillId="0" borderId="0" xfId="8" applyAlignment="1">
      <alignment vertical="center" wrapText="1"/>
    </xf>
    <xf numFmtId="0" fontId="9" fillId="0" borderId="0" xfId="0" applyFont="1" applyAlignment="1">
      <alignment horizontal="left" vertical="center" wrapText="1"/>
    </xf>
    <xf numFmtId="0" fontId="17" fillId="0" borderId="1" xfId="8" applyFont="1" applyBorder="1" applyAlignment="1">
      <alignment horizontal="left"/>
    </xf>
    <xf numFmtId="0" fontId="17" fillId="0" borderId="3" xfId="8" applyFont="1" applyBorder="1" applyAlignment="1">
      <alignment horizontal="left"/>
    </xf>
    <xf numFmtId="0" fontId="17" fillId="0" borderId="7" xfId="8" applyFont="1" applyBorder="1" applyAlignment="1">
      <alignment horizontal="left"/>
    </xf>
    <xf numFmtId="0" fontId="16" fillId="0" borderId="2" xfId="8" applyFont="1" applyBorder="1" applyAlignment="1">
      <alignment horizontal="center"/>
    </xf>
    <xf numFmtId="0" fontId="0" fillId="0" borderId="0" xfId="0" applyAlignment="1">
      <alignment vertical="top"/>
    </xf>
    <xf numFmtId="0" fontId="0" fillId="0" borderId="0" xfId="0" applyAlignment="1">
      <alignment wrapText="1"/>
    </xf>
    <xf numFmtId="49" fontId="9" fillId="0" borderId="130" xfId="8" applyNumberFormat="1" applyBorder="1" applyAlignment="1">
      <alignment horizontal="center" vertical="center"/>
    </xf>
    <xf numFmtId="41" fontId="0" fillId="0" borderId="140" xfId="0" applyNumberFormat="1" applyBorder="1" applyAlignment="1">
      <alignment vertical="center" wrapText="1"/>
    </xf>
    <xf numFmtId="41" fontId="30" fillId="30" borderId="140" xfId="0" applyNumberFormat="1" applyFont="1" applyFill="1" applyBorder="1" applyAlignment="1">
      <alignment vertical="center" wrapText="1"/>
    </xf>
    <xf numFmtId="0" fontId="74" fillId="0" borderId="135" xfId="0" applyFont="1" applyBorder="1" applyAlignment="1">
      <alignment horizontal="center" vertical="center" wrapText="1"/>
    </xf>
    <xf numFmtId="0" fontId="74" fillId="0" borderId="136" xfId="0" applyFont="1" applyBorder="1" applyAlignment="1">
      <alignment horizontal="center" vertical="center" wrapText="1"/>
    </xf>
    <xf numFmtId="0" fontId="74" fillId="0" borderId="135" xfId="0" applyFont="1" applyBorder="1" applyAlignment="1">
      <alignment horizontal="right" vertical="center" wrapText="1"/>
    </xf>
    <xf numFmtId="165" fontId="75" fillId="52" borderId="136" xfId="0" applyNumberFormat="1" applyFont="1" applyFill="1" applyBorder="1" applyAlignment="1">
      <alignment horizontal="center" vertical="center" wrapText="1"/>
    </xf>
    <xf numFmtId="181" fontId="74" fillId="0" borderId="135" xfId="0" applyNumberFormat="1" applyFont="1" applyBorder="1" applyAlignment="1">
      <alignment horizontal="right" vertical="center" wrapText="1"/>
    </xf>
    <xf numFmtId="165" fontId="74" fillId="0" borderId="140" xfId="0" applyNumberFormat="1" applyFont="1" applyBorder="1" applyAlignment="1">
      <alignment horizontal="center" vertical="center" wrapText="1"/>
    </xf>
    <xf numFmtId="165" fontId="74" fillId="52" borderId="140" xfId="0" applyNumberFormat="1" applyFont="1" applyFill="1" applyBorder="1" applyAlignment="1">
      <alignment vertical="center" wrapText="1"/>
    </xf>
    <xf numFmtId="165" fontId="74" fillId="52" borderId="140" xfId="0" applyNumberFormat="1" applyFont="1" applyFill="1" applyBorder="1" applyAlignment="1">
      <alignment horizontal="center" vertical="center" wrapText="1"/>
    </xf>
    <xf numFmtId="165" fontId="74" fillId="52" borderId="139" xfId="0" applyNumberFormat="1" applyFont="1" applyFill="1" applyBorder="1" applyAlignment="1">
      <alignment vertical="center" wrapText="1"/>
    </xf>
    <xf numFmtId="0" fontId="74" fillId="0" borderId="138" xfId="0" applyFont="1" applyBorder="1" applyAlignment="1">
      <alignment horizontal="center" vertical="center" wrapText="1"/>
    </xf>
    <xf numFmtId="0" fontId="74" fillId="0" borderId="140" xfId="0" applyFont="1" applyBorder="1" applyAlignment="1">
      <alignment horizontal="center" vertical="center" wrapText="1"/>
    </xf>
    <xf numFmtId="0" fontId="74" fillId="0" borderId="139" xfId="0" applyFont="1" applyBorder="1" applyAlignment="1">
      <alignment horizontal="center" vertical="center" wrapText="1"/>
    </xf>
    <xf numFmtId="0" fontId="9" fillId="40" borderId="147" xfId="0" applyFont="1" applyFill="1" applyBorder="1" applyAlignment="1">
      <alignment horizontal="center"/>
    </xf>
    <xf numFmtId="0" fontId="0" fillId="40" borderId="148" xfId="0" applyFill="1" applyBorder="1" applyAlignment="1">
      <alignment horizontal="center"/>
    </xf>
    <xf numFmtId="0" fontId="9" fillId="40" borderId="149" xfId="0" applyFont="1" applyFill="1" applyBorder="1" applyAlignment="1">
      <alignment horizontal="center"/>
    </xf>
    <xf numFmtId="44" fontId="11" fillId="0" borderId="146" xfId="1" applyFont="1" applyFill="1" applyBorder="1" applyAlignment="1" applyProtection="1">
      <alignment vertical="center" wrapText="1"/>
    </xf>
    <xf numFmtId="37" fontId="11" fillId="0" borderId="146" xfId="1" applyNumberFormat="1" applyFont="1" applyFill="1" applyBorder="1" applyAlignment="1" applyProtection="1">
      <alignment vertical="center"/>
    </xf>
    <xf numFmtId="44" fontId="9" fillId="0" borderId="146" xfId="1" applyFont="1" applyFill="1" applyBorder="1" applyAlignment="1" applyProtection="1">
      <alignment vertical="center" wrapText="1"/>
    </xf>
    <xf numFmtId="9" fontId="9" fillId="4" borderId="146" xfId="1" applyNumberFormat="1" applyFont="1" applyFill="1" applyBorder="1" applyAlignment="1" applyProtection="1">
      <alignment vertical="center"/>
      <protection locked="0"/>
    </xf>
    <xf numFmtId="37" fontId="9" fillId="0" borderId="146" xfId="1" applyNumberFormat="1" applyFont="1" applyFill="1" applyBorder="1" applyAlignment="1" applyProtection="1">
      <alignment vertical="center"/>
    </xf>
    <xf numFmtId="0" fontId="11" fillId="0" borderId="146" xfId="9" applyFont="1" applyBorder="1" applyAlignment="1">
      <alignment vertical="center" wrapText="1"/>
    </xf>
    <xf numFmtId="169" fontId="11" fillId="0" borderId="146" xfId="9" applyNumberFormat="1" applyFont="1" applyBorder="1" applyAlignment="1">
      <alignment horizontal="center" vertical="center"/>
    </xf>
    <xf numFmtId="44" fontId="11" fillId="0" borderId="146" xfId="1" applyFont="1" applyFill="1" applyBorder="1" applyAlignment="1" applyProtection="1">
      <alignment vertical="center"/>
    </xf>
    <xf numFmtId="169" fontId="11" fillId="0" borderId="146" xfId="9" applyNumberFormat="1" applyFont="1" applyBorder="1" applyAlignment="1">
      <alignment horizontal="center" vertical="center" wrapText="1"/>
    </xf>
    <xf numFmtId="0" fontId="9" fillId="4" borderId="146" xfId="9" applyFill="1" applyBorder="1" applyAlignment="1" applyProtection="1">
      <alignment vertical="center" wrapText="1"/>
      <protection locked="0"/>
    </xf>
    <xf numFmtId="169" fontId="9" fillId="4" borderId="146" xfId="9" applyNumberFormat="1" applyFill="1" applyBorder="1" applyAlignment="1" applyProtection="1">
      <alignment horizontal="center" vertical="center"/>
      <protection locked="0"/>
    </xf>
    <xf numFmtId="39" fontId="9" fillId="4" borderId="146" xfId="1" applyNumberFormat="1" applyFont="1" applyFill="1" applyBorder="1" applyAlignment="1" applyProtection="1">
      <alignment vertical="center"/>
      <protection locked="0"/>
    </xf>
    <xf numFmtId="4" fontId="13" fillId="0" borderId="151" xfId="8" applyNumberFormat="1" applyFont="1" applyBorder="1" applyAlignment="1">
      <alignment horizontal="center" vertical="center" wrapText="1"/>
    </xf>
    <xf numFmtId="0" fontId="25" fillId="28" borderId="15" xfId="2" applyFont="1" applyFill="1" applyBorder="1" applyAlignment="1" applyProtection="1">
      <alignment horizontal="center" vertical="center" wrapText="1"/>
      <protection locked="0"/>
    </xf>
    <xf numFmtId="0" fontId="25" fillId="28"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1" fillId="8" borderId="73" xfId="0" applyFont="1" applyFill="1" applyBorder="1" applyAlignment="1">
      <alignment horizontal="center" vertical="center" wrapText="1"/>
    </xf>
    <xf numFmtId="0" fontId="46" fillId="29" borderId="130" xfId="2"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11" fillId="30" borderId="0" xfId="0" applyFont="1" applyFill="1" applyAlignment="1">
      <alignment horizontal="left" wrapText="1"/>
    </xf>
    <xf numFmtId="0" fontId="11" fillId="0" borderId="0" xfId="0" applyFont="1" applyAlignment="1">
      <alignment horizontal="left" wrapText="1"/>
    </xf>
    <xf numFmtId="0" fontId="84" fillId="0" borderId="138" xfId="0" applyFont="1" applyBorder="1" applyAlignment="1">
      <alignment horizontal="left" vertical="center" wrapText="1"/>
    </xf>
    <xf numFmtId="0" fontId="84" fillId="0" borderId="139" xfId="0" applyFont="1" applyBorder="1" applyAlignment="1">
      <alignment horizontal="left" vertical="center" wrapText="1"/>
    </xf>
    <xf numFmtId="0" fontId="85" fillId="0" borderId="135" xfId="0" applyFont="1" applyBorder="1" applyAlignment="1">
      <alignment horizontal="left" vertical="center" wrapText="1"/>
    </xf>
    <xf numFmtId="0" fontId="85" fillId="0" borderId="136" xfId="0" applyFont="1" applyBorder="1" applyAlignment="1">
      <alignment horizontal="left" vertical="center" wrapText="1"/>
    </xf>
    <xf numFmtId="0" fontId="73" fillId="54" borderId="5" xfId="0" applyFont="1" applyFill="1" applyBorder="1" applyAlignment="1">
      <alignment horizontal="center" vertical="center" wrapText="1"/>
    </xf>
    <xf numFmtId="0" fontId="73" fillId="54" borderId="6" xfId="0" applyFont="1" applyFill="1" applyBorder="1" applyAlignment="1">
      <alignment horizontal="center" vertical="center" wrapText="1"/>
    </xf>
    <xf numFmtId="0" fontId="73" fillId="54" borderId="14" xfId="0" applyFont="1" applyFill="1" applyBorder="1" applyAlignment="1">
      <alignment horizontal="center" vertical="center" wrapText="1"/>
    </xf>
    <xf numFmtId="0" fontId="79" fillId="53" borderId="41" xfId="0" applyFont="1" applyFill="1" applyBorder="1" applyAlignment="1">
      <alignment horizontal="center" vertical="center" wrapText="1"/>
    </xf>
    <xf numFmtId="0" fontId="79" fillId="53" borderId="42" xfId="0" applyFont="1" applyFill="1" applyBorder="1" applyAlignment="1">
      <alignment horizontal="center" vertical="center" wrapText="1"/>
    </xf>
    <xf numFmtId="0" fontId="86" fillId="0" borderId="87" xfId="0" applyFont="1" applyBorder="1" applyAlignment="1">
      <alignment horizontal="left" vertical="center" wrapText="1"/>
    </xf>
    <xf numFmtId="0" fontId="86" fillId="0" borderId="88" xfId="0" applyFont="1" applyBorder="1" applyAlignment="1">
      <alignment horizontal="left" vertical="center" wrapText="1"/>
    </xf>
    <xf numFmtId="0" fontId="86" fillId="0" borderId="135" xfId="0" applyFont="1" applyBorder="1" applyAlignment="1">
      <alignment horizontal="left" vertical="center" wrapText="1"/>
    </xf>
    <xf numFmtId="0" fontId="86" fillId="0" borderId="136" xfId="0" applyFont="1" applyBorder="1" applyAlignment="1">
      <alignment horizontal="left" vertical="center" wrapText="1"/>
    </xf>
    <xf numFmtId="0" fontId="84" fillId="0" borderId="135" xfId="0" applyFont="1" applyBorder="1" applyAlignment="1">
      <alignment horizontal="left" vertical="center" wrapText="1"/>
    </xf>
    <xf numFmtId="0" fontId="84" fillId="0" borderId="136" xfId="0" applyFont="1" applyBorder="1" applyAlignment="1">
      <alignment horizontal="left" vertical="center" wrapText="1"/>
    </xf>
    <xf numFmtId="0" fontId="29" fillId="55" borderId="44" xfId="0" applyFont="1" applyFill="1" applyBorder="1" applyAlignment="1">
      <alignment horizontal="left" vertical="center" wrapText="1"/>
    </xf>
    <xf numFmtId="0" fontId="29" fillId="55" borderId="0" xfId="0" applyFont="1" applyFill="1" applyAlignment="1">
      <alignment horizontal="left" vertical="center" wrapText="1"/>
    </xf>
    <xf numFmtId="0" fontId="83" fillId="55" borderId="5" xfId="0" applyFont="1" applyFill="1" applyBorder="1" applyAlignment="1">
      <alignment horizontal="left" vertical="center" wrapText="1"/>
    </xf>
    <xf numFmtId="0" fontId="83" fillId="55" borderId="6" xfId="0" applyFont="1" applyFill="1" applyBorder="1" applyAlignment="1">
      <alignment horizontal="left" vertical="center" wrapText="1"/>
    </xf>
    <xf numFmtId="0" fontId="83" fillId="55" borderId="14" xfId="0" applyFont="1" applyFill="1" applyBorder="1" applyAlignment="1">
      <alignment horizontal="left" vertical="center" wrapText="1"/>
    </xf>
    <xf numFmtId="0" fontId="72" fillId="0" borderId="5" xfId="0" applyFont="1" applyBorder="1" applyAlignment="1">
      <alignment horizontal="center" vertical="center" wrapText="1"/>
    </xf>
    <xf numFmtId="0" fontId="72" fillId="0" borderId="14" xfId="0" applyFont="1" applyBorder="1" applyAlignment="1">
      <alignment horizontal="center" vertical="center" wrapText="1"/>
    </xf>
    <xf numFmtId="0" fontId="20" fillId="0" borderId="0" xfId="2" applyAlignment="1" applyProtection="1">
      <alignment vertical="center"/>
      <protection locked="0"/>
    </xf>
    <xf numFmtId="0" fontId="0" fillId="0" borderId="0" xfId="0" applyAlignment="1">
      <alignment vertical="center"/>
    </xf>
    <xf numFmtId="14" fontId="9" fillId="0" borderId="0" xfId="0" applyNumberFormat="1" applyFont="1" applyAlignment="1">
      <alignment horizontal="left" vertical="center"/>
    </xf>
    <xf numFmtId="0" fontId="0" fillId="0" borderId="0" xfId="0" applyAlignment="1">
      <alignment horizontal="left" vertical="center"/>
    </xf>
    <xf numFmtId="0" fontId="13" fillId="0" borderId="26" xfId="0" applyFont="1" applyBorder="1" applyAlignment="1">
      <alignment horizontal="center"/>
    </xf>
    <xf numFmtId="0" fontId="11" fillId="0" borderId="0" xfId="0" applyFont="1" applyAlignment="1">
      <alignment horizontal="left" vertical="center" wrapText="1"/>
    </xf>
    <xf numFmtId="0" fontId="0" fillId="0" borderId="0" xfId="0" applyAlignment="1">
      <alignment horizontal="left" vertical="center" wrapText="1"/>
    </xf>
    <xf numFmtId="0" fontId="0" fillId="4" borderId="0" xfId="0" applyFill="1" applyAlignment="1" applyProtection="1">
      <alignment vertical="top" wrapText="1"/>
      <protection locked="0"/>
    </xf>
    <xf numFmtId="14"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20" fillId="0" borderId="0" xfId="2" applyAlignment="1" applyProtection="1">
      <alignment vertical="center" wrapText="1"/>
      <protection locked="0"/>
    </xf>
    <xf numFmtId="0" fontId="0" fillId="0" borderId="0" xfId="0" applyAlignment="1" applyProtection="1">
      <alignment wrapText="1"/>
      <protection locked="0"/>
    </xf>
    <xf numFmtId="0" fontId="13" fillId="0" borderId="26" xfId="0" applyFont="1" applyBorder="1" applyAlignment="1" applyProtection="1">
      <alignment horizontal="center" wrapText="1"/>
      <protection locked="0"/>
    </xf>
    <xf numFmtId="0" fontId="0" fillId="0" borderId="26" xfId="0" applyBorder="1" applyAlignment="1" applyProtection="1">
      <alignment horizontal="center" wrapText="1"/>
      <protection locked="0"/>
    </xf>
    <xf numFmtId="0" fontId="17" fillId="2" borderId="3" xfId="0" applyFont="1" applyFill="1" applyBorder="1" applyAlignment="1" applyProtection="1">
      <alignment horizontal="left" vertical="center"/>
      <protection locked="0"/>
    </xf>
    <xf numFmtId="0" fontId="17" fillId="2" borderId="16" xfId="0" applyFont="1" applyFill="1" applyBorder="1" applyAlignment="1" applyProtection="1">
      <alignment horizontal="left" vertical="center"/>
      <protection locked="0"/>
    </xf>
    <xf numFmtId="0" fontId="17" fillId="0" borderId="3" xfId="0" applyFont="1" applyBorder="1" applyAlignment="1">
      <alignment horizontal="left" vertical="center"/>
    </xf>
    <xf numFmtId="0" fontId="0" fillId="0" borderId="4" xfId="0" applyBorder="1" applyAlignment="1">
      <alignment vertical="center"/>
    </xf>
    <xf numFmtId="0" fontId="0" fillId="0" borderId="16" xfId="0" applyBorder="1" applyAlignment="1">
      <alignmen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14" xfId="0" applyFont="1" applyBorder="1" applyAlignment="1">
      <alignment horizontal="left" vertical="center"/>
    </xf>
    <xf numFmtId="0" fontId="21" fillId="0" borderId="3" xfId="0" applyFont="1" applyBorder="1" applyAlignment="1">
      <alignment horizontal="left" vertical="center"/>
    </xf>
    <xf numFmtId="0" fontId="17" fillId="0" borderId="12" xfId="0" applyFont="1" applyBorder="1" applyAlignment="1">
      <alignment horizontal="left" vertical="center"/>
    </xf>
    <xf numFmtId="0" fontId="0" fillId="0" borderId="12" xfId="0" applyBorder="1" applyAlignment="1">
      <alignment vertical="center"/>
    </xf>
    <xf numFmtId="0" fontId="13" fillId="0" borderId="0" xfId="0" applyFont="1" applyAlignment="1">
      <alignment horizontal="left" vertical="center"/>
    </xf>
    <xf numFmtId="14" fontId="12" fillId="0" borderId="0" xfId="0" applyNumberFormat="1"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xf>
    <xf numFmtId="0" fontId="16" fillId="0" borderId="2" xfId="0" applyFont="1" applyBorder="1" applyAlignment="1">
      <alignment horizontal="center" vertical="center"/>
    </xf>
    <xf numFmtId="0" fontId="17" fillId="0" borderId="7" xfId="0" applyFont="1" applyBorder="1" applyAlignment="1">
      <alignment horizontal="left" vertical="center"/>
    </xf>
    <xf numFmtId="0" fontId="0" fillId="0" borderId="17" xfId="0" applyBorder="1" applyAlignment="1">
      <alignment vertical="center"/>
    </xf>
    <xf numFmtId="0" fontId="20" fillId="0" borderId="0" xfId="2" applyBorder="1" applyAlignment="1" applyProtection="1">
      <alignment vertical="center" wrapText="1"/>
      <protection locked="0"/>
    </xf>
    <xf numFmtId="0" fontId="11" fillId="0" borderId="6" xfId="0" applyFont="1" applyBorder="1" applyAlignment="1">
      <alignment vertical="center"/>
    </xf>
    <xf numFmtId="0" fontId="11" fillId="0" borderId="14" xfId="0" applyFont="1" applyBorder="1" applyAlignment="1">
      <alignment vertical="center"/>
    </xf>
    <xf numFmtId="0" fontId="17" fillId="0" borderId="1" xfId="0" applyFont="1" applyBorder="1" applyAlignment="1">
      <alignment horizontal="left" vertical="center"/>
    </xf>
    <xf numFmtId="0" fontId="17" fillId="2" borderId="1" xfId="0" applyFont="1" applyFill="1" applyBorder="1" applyAlignment="1" applyProtection="1">
      <alignment horizontal="left" vertical="center"/>
      <protection locked="0"/>
    </xf>
    <xf numFmtId="0" fontId="21" fillId="0" borderId="4" xfId="0" applyFont="1" applyBorder="1" applyAlignment="1">
      <alignment horizontal="left" vertical="center"/>
    </xf>
    <xf numFmtId="0" fontId="11" fillId="0" borderId="0" xfId="0" applyFont="1" applyAlignment="1">
      <alignment vertical="center"/>
    </xf>
    <xf numFmtId="0" fontId="18" fillId="0" borderId="0" xfId="0" applyFont="1" applyAlignment="1">
      <alignment horizontal="center" vertical="center" wrapText="1"/>
    </xf>
    <xf numFmtId="0" fontId="0" fillId="0" borderId="2" xfId="0" applyBorder="1" applyAlignment="1">
      <alignment vertical="center" wrapText="1"/>
    </xf>
    <xf numFmtId="0" fontId="17" fillId="0" borderId="4" xfId="0" applyFont="1" applyBorder="1" applyAlignment="1">
      <alignment horizontal="left" vertical="center"/>
    </xf>
    <xf numFmtId="0" fontId="17" fillId="0" borderId="16" xfId="0" applyFont="1" applyBorder="1" applyAlignment="1">
      <alignment horizontal="left" vertical="center"/>
    </xf>
    <xf numFmtId="14" fontId="9" fillId="0" borderId="0" xfId="10" applyNumberFormat="1" applyAlignment="1">
      <alignment horizontal="left" vertical="center"/>
    </xf>
    <xf numFmtId="0" fontId="9" fillId="0" borderId="0" xfId="0" applyFont="1" applyAlignment="1">
      <alignment horizontal="left" vertical="center"/>
    </xf>
    <xf numFmtId="0" fontId="9"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14" fontId="0" fillId="0" borderId="0" xfId="0" applyNumberFormat="1" applyAlignment="1">
      <alignment horizontal="left" vertical="center"/>
    </xf>
    <xf numFmtId="0" fontId="11"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9" fillId="0" borderId="0" xfId="9" applyAlignment="1">
      <alignment vertical="center" wrapText="1"/>
    </xf>
    <xf numFmtId="0" fontId="9" fillId="0" borderId="22" xfId="9" applyBorder="1" applyAlignment="1">
      <alignment vertical="center" wrapText="1"/>
    </xf>
    <xf numFmtId="0" fontId="0" fillId="0" borderId="0" xfId="0" applyAlignment="1">
      <alignment vertical="center" wrapText="1"/>
    </xf>
    <xf numFmtId="0" fontId="9" fillId="0" borderId="0" xfId="10" applyAlignment="1">
      <alignment horizontal="left" vertical="center" wrapText="1"/>
    </xf>
    <xf numFmtId="0" fontId="46" fillId="0" borderId="0" xfId="9" applyFont="1" applyAlignment="1">
      <alignment vertical="center" wrapText="1"/>
    </xf>
    <xf numFmtId="0" fontId="46" fillId="0" borderId="34" xfId="0" applyFont="1" applyBorder="1" applyAlignment="1">
      <alignment vertical="center" wrapText="1"/>
    </xf>
    <xf numFmtId="0" fontId="0" fillId="0" borderId="22" xfId="0" applyBorder="1" applyAlignment="1">
      <alignment vertical="center"/>
    </xf>
    <xf numFmtId="0" fontId="20" fillId="0" borderId="0" xfId="2" applyBorder="1" applyAlignment="1" applyProtection="1">
      <alignment horizontal="left" vertical="center" wrapText="1"/>
      <protection locked="0"/>
    </xf>
    <xf numFmtId="0" fontId="9" fillId="7" borderId="132" xfId="0" quotePrefix="1" applyFont="1" applyFill="1" applyBorder="1" applyAlignment="1">
      <alignment horizontal="center" vertical="center" wrapText="1"/>
    </xf>
    <xf numFmtId="0" fontId="0" fillId="7" borderId="132" xfId="0" applyFill="1" applyBorder="1" applyAlignment="1">
      <alignment horizontal="center" vertical="center" wrapText="1"/>
    </xf>
    <xf numFmtId="0" fontId="60" fillId="42" borderId="56" xfId="0" applyFont="1" applyFill="1" applyBorder="1" applyAlignment="1">
      <alignment horizontal="left" vertical="center"/>
    </xf>
    <xf numFmtId="0" fontId="60" fillId="42" borderId="62" xfId="0" applyFont="1" applyFill="1" applyBorder="1" applyAlignment="1">
      <alignment horizontal="left" vertical="center"/>
    </xf>
    <xf numFmtId="0" fontId="60" fillId="42" borderId="57" xfId="0" applyFont="1" applyFill="1" applyBorder="1" applyAlignment="1">
      <alignment horizontal="left" vertical="center"/>
    </xf>
    <xf numFmtId="0" fontId="39" fillId="41" borderId="62" xfId="0" applyFont="1" applyFill="1" applyBorder="1" applyAlignment="1">
      <alignment horizontal="center"/>
    </xf>
    <xf numFmtId="0" fontId="39" fillId="41" borderId="57" xfId="0" applyFont="1" applyFill="1" applyBorder="1" applyAlignment="1">
      <alignment horizontal="center"/>
    </xf>
    <xf numFmtId="173" fontId="59" fillId="41" borderId="63" xfId="0" applyNumberFormat="1" applyFont="1" applyFill="1" applyBorder="1" applyAlignment="1">
      <alignment horizontal="center"/>
    </xf>
    <xf numFmtId="173" fontId="59" fillId="41" borderId="61" xfId="0" applyNumberFormat="1" applyFont="1" applyFill="1" applyBorder="1" applyAlignment="1">
      <alignment horizontal="center"/>
    </xf>
    <xf numFmtId="0" fontId="60" fillId="42" borderId="56" xfId="0" applyFont="1" applyFill="1" applyBorder="1" applyAlignment="1">
      <alignment horizontal="center" vertical="center"/>
    </xf>
    <xf numFmtId="0" fontId="60" fillId="42" borderId="62" xfId="0" applyFont="1" applyFill="1" applyBorder="1" applyAlignment="1">
      <alignment horizontal="center" vertical="center"/>
    </xf>
    <xf numFmtId="0" fontId="60" fillId="42" borderId="57" xfId="0" applyFont="1" applyFill="1" applyBorder="1" applyAlignment="1">
      <alignment horizontal="center" vertical="center"/>
    </xf>
    <xf numFmtId="0" fontId="60" fillId="42" borderId="60" xfId="0" applyFont="1" applyFill="1" applyBorder="1" applyAlignment="1">
      <alignment horizontal="center" vertical="center"/>
    </xf>
    <xf numFmtId="0" fontId="60" fillId="42" borderId="63" xfId="0" applyFont="1" applyFill="1" applyBorder="1" applyAlignment="1">
      <alignment horizontal="center" vertical="center"/>
    </xf>
    <xf numFmtId="0" fontId="60" fillId="42" borderId="61" xfId="0" applyFont="1" applyFill="1" applyBorder="1" applyAlignment="1">
      <alignment horizontal="center" vertical="center"/>
    </xf>
    <xf numFmtId="0" fontId="9" fillId="40" borderId="69" xfId="0" quotePrefix="1" applyFont="1" applyFill="1" applyBorder="1" applyAlignment="1">
      <alignment horizontal="center" wrapText="1"/>
    </xf>
    <xf numFmtId="0" fontId="9" fillId="40" borderId="70" xfId="0" quotePrefix="1" applyFont="1" applyFill="1" applyBorder="1" applyAlignment="1">
      <alignment horizontal="center" wrapText="1"/>
    </xf>
    <xf numFmtId="0" fontId="9" fillId="7" borderId="72" xfId="0" quotePrefix="1" applyFont="1" applyFill="1" applyBorder="1" applyAlignment="1">
      <alignment horizontal="center" vertical="center" wrapText="1"/>
    </xf>
    <xf numFmtId="43" fontId="39" fillId="8" borderId="62" xfId="0" applyNumberFormat="1" applyFont="1" applyFill="1" applyBorder="1" applyAlignment="1">
      <alignment horizontal="center"/>
    </xf>
    <xf numFmtId="0" fontId="39" fillId="8" borderId="57" xfId="0" applyFont="1" applyFill="1" applyBorder="1" applyAlignment="1">
      <alignment horizontal="center"/>
    </xf>
    <xf numFmtId="0" fontId="9" fillId="4" borderId="146" xfId="9" applyFill="1" applyBorder="1" applyAlignment="1" applyProtection="1">
      <alignment horizontal="left" vertical="center" wrapText="1"/>
      <protection locked="0"/>
    </xf>
    <xf numFmtId="0" fontId="0" fillId="0" borderId="146" xfId="0" applyBorder="1" applyAlignment="1" applyProtection="1">
      <alignment vertical="center" wrapText="1"/>
      <protection locked="0"/>
    </xf>
    <xf numFmtId="0" fontId="9" fillId="4" borderId="146" xfId="9" applyFill="1" applyBorder="1" applyAlignment="1" applyProtection="1">
      <alignment vertical="center" wrapText="1"/>
      <protection locked="0"/>
    </xf>
    <xf numFmtId="0" fontId="0" fillId="4" borderId="146" xfId="0" applyFill="1" applyBorder="1" applyAlignment="1" applyProtection="1">
      <alignment vertical="center" wrapText="1"/>
      <protection locked="0"/>
    </xf>
    <xf numFmtId="0" fontId="9" fillId="4" borderId="15" xfId="9" applyFill="1" applyBorder="1" applyAlignment="1" applyProtection="1">
      <alignment horizontal="left" vertical="center" wrapText="1"/>
      <protection locked="0"/>
    </xf>
    <xf numFmtId="0" fontId="9" fillId="4" borderId="23" xfId="9" applyFill="1" applyBorder="1" applyAlignment="1" applyProtection="1">
      <alignment horizontal="left" vertical="center" wrapText="1"/>
      <protection locked="0"/>
    </xf>
    <xf numFmtId="0" fontId="9" fillId="4" borderId="24" xfId="9" applyFill="1" applyBorder="1" applyAlignment="1" applyProtection="1">
      <alignment horizontal="left" vertical="center" wrapText="1"/>
      <protection locked="0"/>
    </xf>
    <xf numFmtId="0" fontId="9" fillId="4" borderId="25" xfId="9" applyFill="1" applyBorder="1" applyAlignment="1" applyProtection="1">
      <alignment horizontal="left" vertical="center" wrapText="1"/>
      <protection locked="0"/>
    </xf>
    <xf numFmtId="14" fontId="9" fillId="0" borderId="0" xfId="10" applyNumberFormat="1" applyAlignment="1" applyProtection="1">
      <alignment horizontal="left" vertical="center"/>
      <protection locked="0"/>
    </xf>
    <xf numFmtId="0" fontId="9" fillId="0" borderId="0" xfId="0" applyFont="1" applyAlignment="1" applyProtection="1">
      <alignment horizontal="left" vertical="center"/>
      <protection locked="0"/>
    </xf>
    <xf numFmtId="0" fontId="11" fillId="41" borderId="0" xfId="9" applyFont="1" applyFill="1" applyAlignment="1">
      <alignment horizontal="right" vertical="center" wrapText="1"/>
    </xf>
    <xf numFmtId="0" fontId="11" fillId="41" borderId="0" xfId="0" applyFont="1" applyFill="1" applyAlignment="1">
      <alignment horizontal="right" vertical="center" wrapText="1"/>
    </xf>
    <xf numFmtId="0" fontId="0" fillId="41" borderId="0" xfId="0" applyFill="1" applyAlignment="1">
      <alignment horizontal="right" vertical="center" wrapText="1"/>
    </xf>
    <xf numFmtId="0" fontId="9" fillId="41" borderId="0" xfId="9" applyFill="1" applyAlignment="1">
      <alignment horizontal="center" vertical="center" wrapText="1"/>
    </xf>
    <xf numFmtId="0" fontId="0" fillId="41" borderId="0" xfId="0" applyFill="1" applyAlignment="1">
      <alignment horizontal="center" vertical="center" wrapText="1"/>
    </xf>
    <xf numFmtId="0" fontId="9" fillId="41" borderId="0" xfId="9" applyFill="1" applyAlignment="1">
      <alignment horizontal="right" vertical="center" wrapText="1"/>
    </xf>
    <xf numFmtId="0" fontId="11" fillId="4" borderId="48" xfId="9" applyFont="1" applyFill="1" applyBorder="1" applyAlignment="1" applyProtection="1">
      <alignment horizontal="left" vertical="center" wrapText="1"/>
      <protection locked="0"/>
    </xf>
    <xf numFmtId="0" fontId="11" fillId="4" borderId="49" xfId="9" applyFont="1" applyFill="1" applyBorder="1" applyAlignment="1" applyProtection="1">
      <alignment horizontal="left" vertical="center" wrapText="1"/>
      <protection locked="0"/>
    </xf>
    <xf numFmtId="0" fontId="11" fillId="4" borderId="50" xfId="9" applyFont="1" applyFill="1" applyBorder="1" applyAlignment="1" applyProtection="1">
      <alignment horizontal="left" vertical="center" wrapText="1"/>
      <protection locked="0"/>
    </xf>
    <xf numFmtId="0" fontId="9" fillId="7" borderId="0" xfId="9" applyFill="1" applyAlignment="1">
      <alignment horizontal="center" vertical="center" wrapText="1"/>
    </xf>
    <xf numFmtId="0" fontId="0" fillId="7" borderId="0" xfId="0" applyFill="1" applyAlignment="1">
      <alignment horizontal="center" vertical="center" wrapText="1"/>
    </xf>
    <xf numFmtId="0" fontId="11" fillId="7" borderId="0" xfId="9" applyFont="1" applyFill="1" applyAlignment="1">
      <alignment horizontal="right" vertical="center" wrapText="1"/>
    </xf>
    <xf numFmtId="0" fontId="11" fillId="7" borderId="0" xfId="0" applyFont="1" applyFill="1" applyAlignment="1">
      <alignment horizontal="right" vertical="center" wrapText="1"/>
    </xf>
    <xf numFmtId="0" fontId="0" fillId="7" borderId="0" xfId="0" applyFill="1" applyAlignment="1">
      <alignment horizontal="right" vertical="center" wrapText="1"/>
    </xf>
    <xf numFmtId="0" fontId="9" fillId="58" borderId="0" xfId="9" applyFill="1" applyAlignment="1">
      <alignment horizontal="right" vertical="center" wrapText="1"/>
    </xf>
    <xf numFmtId="0" fontId="0" fillId="58" borderId="0" xfId="0" applyFill="1" applyAlignment="1">
      <alignment horizontal="right" vertical="center" wrapText="1"/>
    </xf>
    <xf numFmtId="0" fontId="11" fillId="58" borderId="0" xfId="9" applyFont="1" applyFill="1" applyAlignment="1">
      <alignment horizontal="right" vertical="center" wrapText="1"/>
    </xf>
    <xf numFmtId="0" fontId="11" fillId="58" borderId="0" xfId="0" applyFont="1" applyFill="1" applyAlignment="1">
      <alignment horizontal="right" vertical="center" wrapText="1"/>
    </xf>
    <xf numFmtId="0" fontId="9" fillId="58" borderId="0" xfId="9" applyFill="1" applyAlignment="1">
      <alignment horizontal="center" vertical="center" wrapText="1"/>
    </xf>
    <xf numFmtId="0" fontId="0" fillId="58" borderId="0" xfId="0" applyFill="1" applyAlignment="1">
      <alignment horizontal="center" vertical="center" wrapText="1"/>
    </xf>
    <xf numFmtId="0" fontId="9" fillId="48" borderId="0" xfId="9" applyFill="1" applyAlignment="1">
      <alignment horizontal="right" vertical="center" wrapText="1"/>
    </xf>
    <xf numFmtId="0" fontId="0" fillId="48" borderId="0" xfId="0" applyFill="1" applyAlignment="1">
      <alignment horizontal="right" vertical="center" wrapText="1"/>
    </xf>
    <xf numFmtId="0" fontId="9" fillId="48" borderId="0" xfId="9" applyFill="1" applyAlignment="1">
      <alignment horizontal="center" vertical="center" wrapText="1"/>
    </xf>
    <xf numFmtId="0" fontId="0" fillId="48" borderId="0" xfId="0" applyFill="1" applyAlignment="1">
      <alignment horizontal="center" vertical="center" wrapText="1"/>
    </xf>
    <xf numFmtId="0" fontId="11" fillId="48" borderId="0" xfId="9" applyFont="1" applyFill="1" applyAlignment="1">
      <alignment horizontal="right" vertical="center" wrapText="1"/>
    </xf>
    <xf numFmtId="0" fontId="11" fillId="48" borderId="0" xfId="0" applyFont="1" applyFill="1" applyAlignment="1">
      <alignment horizontal="right" vertical="center" wrapText="1"/>
    </xf>
    <xf numFmtId="0" fontId="9" fillId="7" borderId="0" xfId="9" applyFill="1" applyAlignment="1">
      <alignment horizontal="right" vertical="center" wrapText="1"/>
    </xf>
    <xf numFmtId="0" fontId="9" fillId="40" borderId="0" xfId="9" applyFill="1" applyAlignment="1">
      <alignment horizontal="center" vertical="center" wrapText="1"/>
    </xf>
    <xf numFmtId="0" fontId="11" fillId="40" borderId="0" xfId="9" applyFont="1" applyFill="1" applyAlignment="1">
      <alignment horizontal="center" vertical="center" wrapText="1"/>
    </xf>
    <xf numFmtId="0" fontId="11" fillId="51" borderId="98" xfId="9" applyFont="1" applyFill="1" applyBorder="1" applyAlignment="1">
      <alignment horizontal="center" vertical="center" wrapText="1"/>
    </xf>
    <xf numFmtId="0" fontId="11" fillId="51" borderId="99" xfId="9" applyFont="1" applyFill="1" applyBorder="1" applyAlignment="1">
      <alignment horizontal="center" vertical="center" wrapText="1"/>
    </xf>
    <xf numFmtId="168" fontId="92" fillId="63" borderId="130" xfId="8" applyNumberFormat="1" applyFont="1" applyFill="1" applyBorder="1" applyAlignment="1">
      <alignment horizontal="left" vertical="center" wrapText="1"/>
    </xf>
    <xf numFmtId="183" fontId="52" fillId="0" borderId="106" xfId="8" applyNumberFormat="1" applyFont="1" applyBorder="1" applyAlignment="1">
      <alignment horizontal="left" vertical="center"/>
    </xf>
    <xf numFmtId="183" fontId="52" fillId="0" borderId="105" xfId="8" applyNumberFormat="1" applyFont="1" applyBorder="1" applyAlignment="1">
      <alignment horizontal="left" vertical="center"/>
    </xf>
    <xf numFmtId="168" fontId="52" fillId="0" borderId="0" xfId="8" applyNumberFormat="1" applyFont="1" applyAlignment="1">
      <alignment vertical="center" wrapText="1"/>
    </xf>
    <xf numFmtId="0" fontId="9" fillId="0" borderId="0" xfId="8" applyAlignment="1">
      <alignment vertical="center" wrapText="1"/>
    </xf>
    <xf numFmtId="0" fontId="52" fillId="0" borderId="104" xfId="8" applyFont="1" applyBorder="1" applyAlignment="1">
      <alignment horizontal="left" vertical="top"/>
    </xf>
    <xf numFmtId="0" fontId="52" fillId="0" borderId="0" xfId="8" applyFont="1" applyAlignment="1">
      <alignment horizontal="left" vertical="top"/>
    </xf>
    <xf numFmtId="166" fontId="52" fillId="0" borderId="104" xfId="8" applyNumberFormat="1" applyFont="1" applyBorder="1" applyAlignment="1">
      <alignment horizontal="left" vertical="center" wrapText="1"/>
    </xf>
    <xf numFmtId="166" fontId="52" fillId="0" borderId="0" xfId="8" applyNumberFormat="1" applyFont="1" applyAlignment="1">
      <alignment horizontal="left" vertical="center" wrapText="1"/>
    </xf>
    <xf numFmtId="166" fontId="52" fillId="0" borderId="107" xfId="8" applyNumberFormat="1" applyFont="1" applyBorder="1" applyAlignment="1">
      <alignment horizontal="left" vertical="center" wrapText="1"/>
    </xf>
    <xf numFmtId="4" fontId="13" fillId="0" borderId="73" xfId="8" applyNumberFormat="1" applyFont="1" applyBorder="1" applyAlignment="1">
      <alignment horizontal="center" vertical="center" wrapText="1"/>
    </xf>
    <xf numFmtId="4" fontId="13" fillId="0" borderId="73" xfId="8" applyNumberFormat="1" applyFont="1" applyBorder="1" applyAlignment="1">
      <alignment horizontal="left" vertical="center" wrapText="1"/>
    </xf>
    <xf numFmtId="168" fontId="52" fillId="0" borderId="136" xfId="8" applyNumberFormat="1" applyFont="1" applyBorder="1" applyAlignment="1">
      <alignment horizontal="left" vertical="center" wrapText="1"/>
    </xf>
    <xf numFmtId="0" fontId="9" fillId="0" borderId="136" xfId="8" applyBorder="1" applyAlignment="1">
      <alignment horizontal="left" vertical="center" wrapText="1"/>
    </xf>
    <xf numFmtId="0" fontId="9" fillId="0" borderId="139" xfId="8" applyBorder="1" applyAlignment="1">
      <alignment horizontal="left" vertical="center" wrapText="1"/>
    </xf>
    <xf numFmtId="168" fontId="52" fillId="0" borderId="135" xfId="8" applyNumberFormat="1" applyFont="1" applyBorder="1" applyAlignment="1">
      <alignment horizontal="left" vertical="center" wrapText="1"/>
    </xf>
    <xf numFmtId="0" fontId="9" fillId="0" borderId="135" xfId="8" applyBorder="1" applyAlignment="1">
      <alignment horizontal="left" vertical="center" wrapText="1"/>
    </xf>
    <xf numFmtId="0" fontId="9" fillId="0" borderId="140" xfId="8" applyBorder="1" applyAlignment="1">
      <alignment horizontal="left" vertical="center" wrapText="1"/>
    </xf>
    <xf numFmtId="168" fontId="52" fillId="0" borderId="137" xfId="8" applyNumberFormat="1" applyFont="1" applyBorder="1" applyAlignment="1">
      <alignment horizontal="left" vertical="center" wrapText="1"/>
    </xf>
    <xf numFmtId="0" fontId="9" fillId="0" borderId="137" xfId="8" applyBorder="1" applyAlignment="1">
      <alignment horizontal="left" vertical="center" wrapText="1"/>
    </xf>
    <xf numFmtId="0" fontId="9" fillId="0" borderId="150" xfId="8" applyBorder="1" applyAlignment="1">
      <alignment horizontal="left" vertical="center" wrapText="1"/>
    </xf>
    <xf numFmtId="0" fontId="52" fillId="0" borderId="112" xfId="8" applyFont="1" applyBorder="1" applyAlignment="1">
      <alignment horizontal="left" vertical="center" wrapText="1" readingOrder="1"/>
    </xf>
    <xf numFmtId="0" fontId="52" fillId="0" borderId="113" xfId="8" applyFont="1" applyBorder="1" applyAlignment="1">
      <alignment horizontal="left" vertical="center" wrapText="1" readingOrder="1"/>
    </xf>
    <xf numFmtId="0" fontId="52" fillId="0" borderId="107" xfId="8" applyFont="1" applyBorder="1" applyAlignment="1">
      <alignment horizontal="left" vertical="center" wrapText="1" readingOrder="1"/>
    </xf>
    <xf numFmtId="0" fontId="9" fillId="0" borderId="0" xfId="8" applyAlignment="1">
      <alignment horizontal="center" vertical="center" wrapText="1" readingOrder="1"/>
    </xf>
    <xf numFmtId="0" fontId="52" fillId="0" borderId="104" xfId="8" applyFont="1" applyBorder="1" applyAlignment="1">
      <alignment horizontal="left" vertical="center" wrapText="1" readingOrder="1"/>
    </xf>
    <xf numFmtId="168" fontId="52" fillId="0" borderId="15" xfId="2" applyNumberFormat="1" applyFont="1" applyFill="1" applyBorder="1" applyAlignment="1" applyProtection="1">
      <alignment horizontal="center" vertical="center" wrapText="1"/>
    </xf>
    <xf numFmtId="168" fontId="52" fillId="0" borderId="0" xfId="2" applyNumberFormat="1" applyFont="1" applyFill="1" applyBorder="1" applyAlignment="1" applyProtection="1">
      <alignment horizontal="center" vertical="center" wrapText="1"/>
    </xf>
    <xf numFmtId="4" fontId="89" fillId="68" borderId="119" xfId="8" applyNumberFormat="1" applyFont="1" applyFill="1" applyBorder="1" applyAlignment="1">
      <alignment horizontal="center" vertical="center" wrapText="1"/>
    </xf>
    <xf numFmtId="0" fontId="52" fillId="0" borderId="0" xfId="8" applyFont="1" applyAlignment="1">
      <alignment horizontal="left" vertical="center" wrapText="1" readingOrder="1"/>
    </xf>
    <xf numFmtId="168" fontId="106" fillId="0" borderId="104" xfId="8" applyNumberFormat="1" applyFont="1" applyBorder="1" applyAlignment="1">
      <alignment horizontal="left" vertical="center" wrapText="1"/>
    </xf>
    <xf numFmtId="168" fontId="106" fillId="0" borderId="0" xfId="8" applyNumberFormat="1" applyFont="1" applyAlignment="1">
      <alignment horizontal="left" vertical="center" wrapText="1"/>
    </xf>
    <xf numFmtId="168" fontId="106" fillId="0" borderId="107" xfId="8" applyNumberFormat="1" applyFont="1" applyBorder="1" applyAlignment="1">
      <alignment horizontal="left" vertical="center" wrapText="1"/>
    </xf>
    <xf numFmtId="4" fontId="13" fillId="0" borderId="140" xfId="8" applyNumberFormat="1" applyFont="1" applyBorder="1" applyAlignment="1">
      <alignment horizontal="center" vertical="center" wrapText="1"/>
    </xf>
    <xf numFmtId="4" fontId="13" fillId="0" borderId="140" xfId="8" applyNumberFormat="1" applyFont="1" applyBorder="1" applyAlignment="1">
      <alignment horizontal="left" vertical="center" wrapText="1"/>
    </xf>
    <xf numFmtId="0" fontId="37" fillId="4" borderId="0" xfId="0" applyFont="1" applyFill="1" applyAlignment="1" applyProtection="1">
      <alignment horizontal="center" vertical="top" wrapText="1"/>
      <protection locked="0"/>
    </xf>
    <xf numFmtId="0" fontId="36" fillId="4" borderId="0" xfId="0" applyFont="1" applyFill="1" applyAlignment="1" applyProtection="1">
      <alignment horizontal="center" vertical="top" wrapText="1"/>
      <protection locked="0"/>
    </xf>
    <xf numFmtId="0" fontId="20" fillId="0" borderId="0" xfId="2" applyFill="1" applyAlignment="1" applyProtection="1">
      <alignment vertical="center"/>
      <protection locked="0"/>
    </xf>
    <xf numFmtId="0" fontId="0" fillId="0" borderId="0" xfId="0" applyAlignment="1" applyProtection="1">
      <protection locked="0"/>
    </xf>
    <xf numFmtId="0" fontId="41" fillId="0" borderId="80" xfId="0" applyFont="1" applyBorder="1" applyAlignment="1">
      <alignment horizontal="center" vertical="center" wrapText="1"/>
    </xf>
    <xf numFmtId="0" fontId="41" fillId="0" borderId="81" xfId="0" applyFont="1" applyBorder="1" applyAlignment="1">
      <alignment horizontal="center" vertical="center" wrapText="1"/>
    </xf>
    <xf numFmtId="0" fontId="9" fillId="0" borderId="0" xfId="0" applyFont="1" applyAlignment="1">
      <alignment horizontal="left" vertical="center" wrapText="1"/>
    </xf>
    <xf numFmtId="0" fontId="9" fillId="7" borderId="18" xfId="0" applyFont="1" applyFill="1" applyBorder="1" applyAlignment="1">
      <alignment vertical="center" wrapText="1"/>
    </xf>
    <xf numFmtId="0" fontId="0" fillId="7" borderId="18" xfId="0" applyFill="1" applyBorder="1" applyAlignment="1">
      <alignment vertical="center" wrapText="1"/>
    </xf>
    <xf numFmtId="0" fontId="15" fillId="0" borderId="0" xfId="8" applyFont="1" applyAlignment="1">
      <alignment horizontal="center" vertical="center" wrapText="1"/>
    </xf>
    <xf numFmtId="0" fontId="17" fillId="0" borderId="3" xfId="8" applyFont="1" applyBorder="1" applyAlignment="1">
      <alignment horizontal="left"/>
    </xf>
    <xf numFmtId="0" fontId="9" fillId="0" borderId="4" xfId="8" applyBorder="1" applyAlignment="1"/>
    <xf numFmtId="0" fontId="9" fillId="0" borderId="16" xfId="8" applyBorder="1" applyAlignment="1"/>
    <xf numFmtId="0" fontId="16" fillId="0" borderId="2" xfId="8" applyFont="1" applyBorder="1" applyAlignment="1">
      <alignment horizontal="center"/>
    </xf>
    <xf numFmtId="0" fontId="17" fillId="0" borderId="12" xfId="8" applyFont="1" applyBorder="1" applyAlignment="1">
      <alignment horizontal="left"/>
    </xf>
    <xf numFmtId="0" fontId="9" fillId="0" borderId="12" xfId="8" applyBorder="1" applyAlignment="1"/>
    <xf numFmtId="0" fontId="18" fillId="0" borderId="0" xfId="8" applyFont="1" applyAlignment="1">
      <alignment horizontal="left"/>
    </xf>
    <xf numFmtId="0" fontId="9" fillId="0" borderId="0" xfId="8" applyAlignment="1"/>
    <xf numFmtId="0" fontId="17" fillId="0" borderId="4" xfId="8" applyFont="1" applyBorder="1" applyAlignment="1">
      <alignment horizontal="left"/>
    </xf>
    <xf numFmtId="0" fontId="21" fillId="0" borderId="3" xfId="8" applyFont="1" applyBorder="1" applyAlignment="1">
      <alignment horizontal="left"/>
    </xf>
    <xf numFmtId="0" fontId="17" fillId="0" borderId="16" xfId="8" applyFont="1" applyBorder="1" applyAlignment="1">
      <alignment horizontal="left"/>
    </xf>
    <xf numFmtId="0" fontId="17" fillId="0" borderId="7" xfId="8" applyFont="1" applyBorder="1" applyAlignment="1">
      <alignment horizontal="left"/>
    </xf>
    <xf numFmtId="0" fontId="17" fillId="0" borderId="17" xfId="8" applyFont="1" applyBorder="1" applyAlignment="1">
      <alignment horizontal="left"/>
    </xf>
    <xf numFmtId="0" fontId="18" fillId="0" borderId="5" xfId="8" applyFont="1" applyBorder="1" applyAlignment="1">
      <alignment horizontal="left"/>
    </xf>
    <xf numFmtId="0" fontId="11" fillId="0" borderId="6" xfId="8" applyFont="1" applyBorder="1" applyAlignment="1"/>
    <xf numFmtId="0" fontId="11" fillId="0" borderId="14" xfId="8" applyFont="1" applyBorder="1" applyAlignment="1"/>
    <xf numFmtId="0" fontId="17" fillId="0" borderId="1" xfId="8" applyFont="1" applyBorder="1" applyAlignment="1">
      <alignment horizontal="left"/>
    </xf>
    <xf numFmtId="0" fontId="9" fillId="0" borderId="6" xfId="8" applyBorder="1" applyAlignment="1"/>
    <xf numFmtId="0" fontId="9" fillId="0" borderId="14" xfId="8" applyBorder="1" applyAlignment="1"/>
    <xf numFmtId="0" fontId="11" fillId="0" borderId="0" xfId="8" applyFont="1" applyAlignment="1"/>
    <xf numFmtId="0" fontId="0" fillId="0" borderId="0" xfId="0" applyAlignment="1"/>
    <xf numFmtId="49" fontId="20" fillId="0" borderId="0" xfId="2" applyNumberFormat="1" applyAlignment="1" applyProtection="1">
      <alignment vertical="top"/>
    </xf>
    <xf numFmtId="0" fontId="0" fillId="0" borderId="0" xfId="0" applyAlignment="1">
      <alignment vertical="top"/>
    </xf>
    <xf numFmtId="49" fontId="20" fillId="0" borderId="0" xfId="2" applyNumberFormat="1" applyAlignment="1" applyProtection="1">
      <alignment vertical="top" wrapText="1"/>
    </xf>
    <xf numFmtId="0" fontId="20" fillId="0" borderId="0" xfId="2" applyAlignment="1" applyProtection="1">
      <alignment vertical="top" wrapText="1"/>
    </xf>
    <xf numFmtId="0" fontId="47" fillId="0" borderId="0" xfId="2" applyFont="1" applyAlignment="1" applyProtection="1">
      <alignment vertical="center" wrapText="1"/>
      <protection locked="0"/>
    </xf>
    <xf numFmtId="0" fontId="0" fillId="0" borderId="0" xfId="0" applyAlignment="1">
      <alignment wrapText="1"/>
    </xf>
    <xf numFmtId="166" fontId="9" fillId="0" borderId="130" xfId="8" applyNumberFormat="1" applyBorder="1" applyAlignment="1">
      <alignment horizontal="center" vertical="center"/>
    </xf>
    <xf numFmtId="166" fontId="9" fillId="0" borderId="18" xfId="8" applyNumberFormat="1" applyBorder="1" applyAlignment="1">
      <alignment horizontal="center" vertical="center"/>
    </xf>
    <xf numFmtId="49" fontId="9" fillId="0" borderId="130" xfId="8" applyNumberFormat="1" applyBorder="1" applyAlignment="1">
      <alignment horizontal="center" vertical="center"/>
    </xf>
    <xf numFmtId="49" fontId="9" fillId="0" borderId="18" xfId="8" applyNumberFormat="1" applyBorder="1" applyAlignment="1">
      <alignment horizontal="center" vertical="center"/>
    </xf>
    <xf numFmtId="0" fontId="25" fillId="33" borderId="152" xfId="0" applyFont="1" applyFill="1" applyBorder="1" applyAlignment="1">
      <alignment horizontal="center" vertical="center" wrapText="1"/>
    </xf>
    <xf numFmtId="0" fontId="41" fillId="33" borderId="152" xfId="0" applyFont="1" applyFill="1" applyBorder="1" applyAlignment="1">
      <alignment horizontal="center" vertical="center" wrapText="1"/>
    </xf>
    <xf numFmtId="0" fontId="25" fillId="8" borderId="152" xfId="10" applyFont="1" applyFill="1" applyBorder="1" applyAlignment="1">
      <alignment horizontal="center" vertical="center" wrapText="1"/>
    </xf>
    <xf numFmtId="0" fontId="41" fillId="8" borderId="152" xfId="0" applyFont="1" applyFill="1" applyBorder="1" applyAlignment="1">
      <alignment horizontal="center" vertical="center" wrapText="1"/>
    </xf>
    <xf numFmtId="0" fontId="46" fillId="10" borderId="152" xfId="2" applyFont="1" applyFill="1" applyBorder="1" applyAlignment="1" applyProtection="1">
      <alignment horizontal="center" vertical="center"/>
      <protection locked="0"/>
    </xf>
    <xf numFmtId="0" fontId="46" fillId="10" borderId="152" xfId="2" applyFont="1" applyFill="1" applyBorder="1" applyAlignment="1" applyProtection="1">
      <alignment horizontal="center" vertical="center" wrapText="1"/>
      <protection locked="0"/>
    </xf>
    <xf numFmtId="0" fontId="46" fillId="25" borderId="152" xfId="2" applyFont="1" applyFill="1" applyBorder="1" applyAlignment="1" applyProtection="1">
      <alignment horizontal="center" vertical="center"/>
      <protection locked="0"/>
    </xf>
    <xf numFmtId="0" fontId="46" fillId="26" borderId="152" xfId="2" applyFont="1" applyFill="1" applyBorder="1" applyAlignment="1" applyProtection="1">
      <alignment horizontal="center" vertical="center"/>
      <protection locked="0"/>
    </xf>
    <xf numFmtId="0" fontId="46" fillId="27" borderId="152" xfId="2" applyFont="1" applyFill="1" applyBorder="1" applyAlignment="1" applyProtection="1">
      <alignment horizontal="center" vertical="center"/>
      <protection locked="0"/>
    </xf>
    <xf numFmtId="0" fontId="18" fillId="10" borderId="152" xfId="2" applyFont="1" applyFill="1" applyBorder="1" applyAlignment="1" applyProtection="1">
      <alignment horizontal="center" vertical="center"/>
      <protection locked="0"/>
    </xf>
    <xf numFmtId="0" fontId="9" fillId="0" borderId="152" xfId="0" applyFont="1" applyBorder="1" applyAlignment="1">
      <alignment vertical="center" wrapText="1"/>
    </xf>
    <xf numFmtId="0" fontId="9" fillId="4" borderId="152" xfId="0" applyFont="1" applyFill="1" applyBorder="1" applyAlignment="1" applyProtection="1">
      <alignment vertical="center" wrapText="1"/>
      <protection locked="0"/>
    </xf>
    <xf numFmtId="0" fontId="0" fillId="0" borderId="152" xfId="0" applyBorder="1" applyAlignment="1" applyProtection="1">
      <alignment vertical="center" wrapText="1"/>
      <protection locked="0"/>
    </xf>
    <xf numFmtId="0" fontId="0" fillId="4" borderId="152" xfId="0" applyFill="1" applyBorder="1" applyAlignment="1" applyProtection="1">
      <alignment horizontal="left" vertical="center" wrapText="1"/>
      <protection locked="0"/>
    </xf>
    <xf numFmtId="0" fontId="0" fillId="0" borderId="152" xfId="0" applyBorder="1" applyAlignment="1" applyProtection="1">
      <alignment horizontal="left" vertical="center" wrapText="1"/>
      <protection locked="0"/>
    </xf>
    <xf numFmtId="0" fontId="9" fillId="46" borderId="153" xfId="0" applyFont="1" applyFill="1" applyBorder="1" applyAlignment="1" applyProtection="1">
      <alignment vertical="center" wrapText="1"/>
      <protection locked="0"/>
    </xf>
    <xf numFmtId="0" fontId="0" fillId="46" borderId="154" xfId="0" applyFill="1" applyBorder="1" applyAlignment="1" applyProtection="1">
      <alignment vertical="center" wrapText="1"/>
      <protection locked="0"/>
    </xf>
    <xf numFmtId="0" fontId="9" fillId="4" borderId="152" xfId="0" applyFont="1" applyFill="1" applyBorder="1" applyAlignment="1" applyProtection="1">
      <alignment vertical="center" wrapText="1"/>
      <protection locked="0"/>
    </xf>
    <xf numFmtId="0" fontId="9" fillId="4" borderId="153" xfId="0" applyFont="1" applyFill="1" applyBorder="1" applyAlignment="1" applyProtection="1">
      <alignment vertical="center" wrapText="1"/>
      <protection locked="0"/>
    </xf>
    <xf numFmtId="0" fontId="9" fillId="4" borderId="154" xfId="0" applyFont="1" applyFill="1" applyBorder="1" applyAlignment="1" applyProtection="1">
      <alignment vertical="center" wrapText="1"/>
      <protection locked="0"/>
    </xf>
    <xf numFmtId="0" fontId="9" fillId="4" borderId="155" xfId="0" applyFont="1" applyFill="1" applyBorder="1" applyAlignment="1" applyProtection="1">
      <alignment vertical="center" wrapText="1"/>
      <protection locked="0"/>
    </xf>
    <xf numFmtId="0" fontId="9" fillId="46" borderId="155" xfId="0" applyFont="1" applyFill="1" applyBorder="1" applyAlignment="1" applyProtection="1">
      <alignment vertical="center" wrapText="1"/>
      <protection locked="0"/>
    </xf>
    <xf numFmtId="0" fontId="9" fillId="0" borderId="152" xfId="0" applyFont="1" applyBorder="1" applyAlignment="1" applyProtection="1">
      <alignment vertical="center" wrapText="1"/>
      <protection locked="0"/>
    </xf>
    <xf numFmtId="0" fontId="0" fillId="4" borderId="152" xfId="0" applyFill="1" applyBorder="1" applyAlignment="1" applyProtection="1">
      <alignment vertical="center" wrapText="1"/>
      <protection locked="0"/>
    </xf>
    <xf numFmtId="165" fontId="11" fillId="0" borderId="153" xfId="0" applyNumberFormat="1" applyFont="1" applyBorder="1" applyAlignment="1" applyProtection="1">
      <alignment horizontal="center" vertical="center"/>
      <protection locked="0"/>
    </xf>
    <xf numFmtId="165" fontId="11" fillId="0" borderId="155" xfId="0" applyNumberFormat="1" applyFont="1" applyBorder="1" applyAlignment="1" applyProtection="1">
      <alignment horizontal="center" vertical="center"/>
      <protection locked="0"/>
    </xf>
    <xf numFmtId="165" fontId="11" fillId="46" borderId="155" xfId="0" applyNumberFormat="1" applyFont="1" applyFill="1" applyBorder="1" applyAlignment="1" applyProtection="1">
      <alignment horizontal="center" vertical="center"/>
      <protection locked="0"/>
    </xf>
    <xf numFmtId="0" fontId="9" fillId="0" borderId="156" xfId="0" applyFont="1" applyBorder="1" applyAlignment="1">
      <alignment vertical="center" wrapText="1"/>
    </xf>
    <xf numFmtId="41" fontId="0" fillId="0" borderId="156" xfId="0" applyNumberFormat="1" applyBorder="1" applyAlignment="1">
      <alignment vertical="center" wrapText="1"/>
    </xf>
    <xf numFmtId="41" fontId="0" fillId="30" borderId="156" xfId="0" applyNumberFormat="1" applyFill="1" applyBorder="1" applyAlignment="1">
      <alignment vertical="center" wrapText="1"/>
    </xf>
    <xf numFmtId="0" fontId="9" fillId="4" borderId="156" xfId="0" applyFont="1" applyFill="1" applyBorder="1" applyAlignment="1" applyProtection="1">
      <alignment vertical="center" wrapText="1"/>
      <protection locked="0"/>
    </xf>
    <xf numFmtId="41" fontId="0" fillId="0" borderId="152" xfId="0" applyNumberFormat="1" applyBorder="1" applyAlignment="1">
      <alignment vertical="center" wrapText="1"/>
    </xf>
    <xf numFmtId="41" fontId="30" fillId="30" borderId="152" xfId="0" applyNumberFormat="1" applyFont="1" applyFill="1" applyBorder="1" applyAlignment="1">
      <alignment vertical="center" wrapText="1"/>
    </xf>
    <xf numFmtId="43" fontId="0" fillId="4" borderId="152" xfId="0" applyNumberFormat="1" applyFill="1" applyBorder="1" applyAlignment="1" applyProtection="1">
      <alignment vertical="center" wrapText="1"/>
      <protection locked="0"/>
    </xf>
    <xf numFmtId="0" fontId="0" fillId="4" borderId="152" xfId="0" applyFill="1" applyBorder="1" applyAlignment="1" applyProtection="1">
      <alignment vertical="center" wrapText="1"/>
      <protection locked="0"/>
    </xf>
    <xf numFmtId="165" fontId="0" fillId="4" borderId="152" xfId="47" applyNumberFormat="1" applyFont="1" applyFill="1" applyBorder="1" applyAlignment="1" applyProtection="1">
      <alignment vertical="center" wrapText="1"/>
      <protection locked="0"/>
    </xf>
    <xf numFmtId="0" fontId="11" fillId="0" borderId="152" xfId="0" applyFont="1" applyBorder="1" applyAlignment="1">
      <alignment vertical="center" wrapText="1"/>
    </xf>
    <xf numFmtId="41" fontId="0" fillId="30" borderId="152" xfId="0" applyNumberFormat="1" applyFill="1" applyBorder="1" applyAlignment="1">
      <alignment vertical="center" wrapText="1"/>
    </xf>
    <xf numFmtId="0" fontId="9" fillId="0" borderId="152" xfId="0" applyFont="1" applyBorder="1" applyAlignment="1">
      <alignment horizontal="left" vertical="center" wrapText="1" indent="2"/>
    </xf>
    <xf numFmtId="0" fontId="9" fillId="0" borderId="152" xfId="0" applyFont="1" applyBorder="1" applyAlignment="1">
      <alignment horizontal="left" vertical="center" wrapText="1"/>
    </xf>
    <xf numFmtId="41" fontId="9" fillId="30" borderId="152" xfId="0" applyNumberFormat="1" applyFont="1" applyFill="1" applyBorder="1" applyAlignment="1">
      <alignment vertical="center" wrapText="1"/>
    </xf>
    <xf numFmtId="0" fontId="20" fillId="0" borderId="152" xfId="2" applyBorder="1" applyAlignment="1" applyProtection="1"/>
    <xf numFmtId="3" fontId="9" fillId="4" borderId="152" xfId="0" applyNumberFormat="1" applyFont="1" applyFill="1" applyBorder="1" applyAlignment="1" applyProtection="1">
      <alignment vertical="center" wrapText="1"/>
      <protection locked="0"/>
    </xf>
    <xf numFmtId="3" fontId="9" fillId="4" borderId="153" xfId="0" applyNumberFormat="1" applyFont="1" applyFill="1" applyBorder="1" applyAlignment="1" applyProtection="1">
      <alignment vertical="center" wrapText="1"/>
      <protection locked="0"/>
    </xf>
    <xf numFmtId="0" fontId="0" fillId="0" borderId="155" xfId="0" applyBorder="1" applyAlignment="1" applyProtection="1">
      <alignment vertical="center" wrapText="1"/>
      <protection locked="0"/>
    </xf>
    <xf numFmtId="3" fontId="0" fillId="4" borderId="153" xfId="0" applyNumberFormat="1" applyFill="1" applyBorder="1" applyAlignment="1" applyProtection="1">
      <alignment vertical="center" wrapText="1"/>
      <protection locked="0"/>
    </xf>
    <xf numFmtId="14" fontId="0" fillId="4" borderId="152" xfId="0" applyNumberFormat="1" applyFill="1" applyBorder="1" applyAlignment="1" applyProtection="1">
      <alignment horizontal="left" vertical="center" wrapText="1"/>
      <protection locked="0"/>
    </xf>
    <xf numFmtId="14" fontId="0" fillId="0" borderId="152" xfId="0" applyNumberFormat="1" applyBorder="1" applyAlignment="1">
      <alignment horizontal="left" vertical="center" wrapText="1"/>
    </xf>
    <xf numFmtId="0" fontId="74" fillId="0" borderId="152" xfId="0" applyFont="1" applyBorder="1" applyAlignment="1">
      <alignment horizontal="center" vertical="center" wrapText="1"/>
    </xf>
    <xf numFmtId="165" fontId="74" fillId="0" borderId="152" xfId="0" applyNumberFormat="1" applyFont="1" applyBorder="1" applyAlignment="1">
      <alignment horizontal="center" vertical="center" wrapText="1"/>
    </xf>
    <xf numFmtId="165" fontId="75" fillId="52" borderId="152" xfId="0" applyNumberFormat="1" applyFont="1" applyFill="1" applyBorder="1" applyAlignment="1">
      <alignment horizontal="center" vertical="center" wrapText="1"/>
    </xf>
    <xf numFmtId="175" fontId="9" fillId="49" borderId="152" xfId="0" applyNumberFormat="1" applyFont="1" applyFill="1" applyBorder="1" applyAlignment="1">
      <alignment horizontal="left" vertical="center" wrapText="1"/>
    </xf>
    <xf numFmtId="10" fontId="0" fillId="49" borderId="152" xfId="0" applyNumberFormat="1" applyFill="1" applyBorder="1" applyAlignment="1">
      <alignment horizontal="left" vertical="center" wrapText="1"/>
    </xf>
    <xf numFmtId="177" fontId="9" fillId="49" borderId="152" xfId="0" applyNumberFormat="1" applyFont="1" applyFill="1" applyBorder="1" applyAlignment="1">
      <alignment horizontal="left" vertical="center" wrapText="1"/>
    </xf>
    <xf numFmtId="0" fontId="74" fillId="0" borderId="138" xfId="0" applyFont="1" applyBorder="1" applyAlignment="1">
      <alignment vertical="center" wrapText="1"/>
    </xf>
    <xf numFmtId="178" fontId="9" fillId="49" borderId="152" xfId="0" applyNumberFormat="1" applyFont="1" applyFill="1" applyBorder="1" applyAlignment="1">
      <alignment horizontal="left" vertical="center" wrapText="1"/>
    </xf>
    <xf numFmtId="180" fontId="9" fillId="49" borderId="152" xfId="0" applyNumberFormat="1" applyFont="1" applyFill="1" applyBorder="1" applyAlignment="1">
      <alignment horizontal="left" vertical="center" wrapText="1"/>
    </xf>
    <xf numFmtId="177" fontId="9" fillId="57" borderId="152" xfId="0" applyNumberFormat="1" applyFont="1" applyFill="1" applyBorder="1" applyAlignment="1">
      <alignment horizontal="left" vertical="center" wrapText="1"/>
    </xf>
    <xf numFmtId="10" fontId="0" fillId="57" borderId="152" xfId="0" applyNumberFormat="1" applyFill="1" applyBorder="1" applyAlignment="1">
      <alignment horizontal="left" vertical="center" wrapText="1"/>
    </xf>
    <xf numFmtId="178" fontId="9" fillId="50" borderId="152" xfId="0" applyNumberFormat="1" applyFont="1" applyFill="1" applyBorder="1" applyAlignment="1">
      <alignment horizontal="left" vertical="center" wrapText="1"/>
    </xf>
    <xf numFmtId="10" fontId="0" fillId="50" borderId="152" xfId="0" applyNumberFormat="1" applyFill="1" applyBorder="1" applyAlignment="1">
      <alignment horizontal="left" vertical="center" wrapText="1"/>
    </xf>
    <xf numFmtId="180" fontId="9" fillId="50" borderId="152" xfId="0" applyNumberFormat="1" applyFont="1" applyFill="1" applyBorder="1" applyAlignment="1">
      <alignment horizontal="left" vertical="center" wrapText="1"/>
    </xf>
    <xf numFmtId="176" fontId="9" fillId="51" borderId="152" xfId="0" applyNumberFormat="1" applyFont="1" applyFill="1" applyBorder="1" applyAlignment="1">
      <alignment horizontal="left" vertical="center" wrapText="1"/>
    </xf>
    <xf numFmtId="10" fontId="0" fillId="51" borderId="152" xfId="0" applyNumberFormat="1" applyFill="1" applyBorder="1" applyAlignment="1">
      <alignment horizontal="left" vertical="center" wrapText="1"/>
    </xf>
    <xf numFmtId="179" fontId="9" fillId="51" borderId="152" xfId="0" applyNumberFormat="1" applyFont="1" applyFill="1" applyBorder="1" applyAlignment="1">
      <alignment horizontal="left" vertical="center" wrapText="1"/>
    </xf>
    <xf numFmtId="182" fontId="9" fillId="51" borderId="152" xfId="0" applyNumberFormat="1" applyFont="1" applyFill="1" applyBorder="1" applyAlignment="1">
      <alignment horizontal="left" vertical="center" wrapText="1"/>
    </xf>
    <xf numFmtId="0" fontId="64" fillId="0" borderId="157" xfId="9" applyFont="1" applyBorder="1" applyAlignment="1" applyProtection="1">
      <alignment horizontal="center" vertical="top"/>
      <protection hidden="1"/>
    </xf>
    <xf numFmtId="0" fontId="64" fillId="0" borderId="158" xfId="9" applyFont="1" applyBorder="1" applyAlignment="1" applyProtection="1">
      <alignment horizontal="center" vertical="top"/>
      <protection hidden="1"/>
    </xf>
    <xf numFmtId="9" fontId="64" fillId="0" borderId="159" xfId="9" applyNumberFormat="1" applyFont="1" applyBorder="1" applyAlignment="1" applyProtection="1">
      <alignment horizontal="center" vertical="top"/>
      <protection hidden="1"/>
    </xf>
    <xf numFmtId="0" fontId="64" fillId="0" borderId="158" xfId="9" applyFont="1" applyBorder="1" applyAlignment="1">
      <alignment horizontal="center" vertical="center"/>
    </xf>
    <xf numFmtId="9" fontId="64" fillId="0" borderId="158" xfId="9" applyNumberFormat="1" applyFont="1" applyBorder="1" applyAlignment="1">
      <alignment horizontal="center" vertical="center"/>
    </xf>
    <xf numFmtId="0" fontId="64" fillId="0" borderId="160" xfId="9" applyFont="1" applyBorder="1" applyAlignment="1">
      <alignment horizontal="center" vertical="center"/>
    </xf>
    <xf numFmtId="9" fontId="64" fillId="0" borderId="160" xfId="9" applyNumberFormat="1" applyFont="1" applyBorder="1" applyAlignment="1">
      <alignment horizontal="center" vertical="center"/>
    </xf>
    <xf numFmtId="0" fontId="17" fillId="0" borderId="146" xfId="0" applyFont="1" applyBorder="1" applyAlignment="1">
      <alignment horizontal="center" vertical="center" wrapText="1"/>
    </xf>
    <xf numFmtId="0" fontId="64" fillId="0" borderId="161" xfId="8" applyFont="1" applyBorder="1" applyAlignment="1" applyProtection="1">
      <alignment horizontal="center" vertical="top"/>
      <protection hidden="1"/>
    </xf>
    <xf numFmtId="0" fontId="64" fillId="0" borderId="160" xfId="8" applyFont="1" applyBorder="1" applyAlignment="1" applyProtection="1">
      <alignment horizontal="center" vertical="top"/>
      <protection hidden="1"/>
    </xf>
    <xf numFmtId="9" fontId="64" fillId="0" borderId="162" xfId="8" applyNumberFormat="1" applyFont="1" applyBorder="1" applyAlignment="1" applyProtection="1">
      <alignment horizontal="center" vertical="top"/>
      <protection hidden="1"/>
    </xf>
    <xf numFmtId="0" fontId="13" fillId="26" borderId="146" xfId="2" applyFont="1" applyFill="1" applyBorder="1" applyAlignment="1" applyProtection="1">
      <alignment horizontal="center" vertical="center"/>
    </xf>
    <xf numFmtId="0" fontId="12" fillId="0" borderId="146" xfId="0" applyFont="1" applyBorder="1" applyAlignment="1">
      <alignment vertical="center"/>
    </xf>
    <xf numFmtId="3" fontId="12" fillId="43" borderId="146" xfId="0" applyNumberFormat="1" applyFont="1" applyFill="1" applyBorder="1" applyAlignment="1">
      <alignment horizontal="right" vertical="center"/>
    </xf>
    <xf numFmtId="174" fontId="12" fillId="43" borderId="146" xfId="48" applyNumberFormat="1" applyFont="1" applyFill="1" applyBorder="1" applyAlignment="1">
      <alignment vertical="center"/>
    </xf>
    <xf numFmtId="174" fontId="12" fillId="43" borderId="146" xfId="48" applyNumberFormat="1" applyFont="1" applyFill="1" applyBorder="1" applyAlignment="1">
      <alignment horizontal="center" vertical="center"/>
    </xf>
    <xf numFmtId="9" fontId="12" fillId="0" borderId="146" xfId="0" applyNumberFormat="1" applyFont="1" applyBorder="1" applyAlignment="1">
      <alignment vertical="center"/>
    </xf>
    <xf numFmtId="44" fontId="12" fillId="0" borderId="146" xfId="1" applyFont="1" applyBorder="1" applyAlignment="1" applyProtection="1">
      <alignment vertical="center"/>
    </xf>
    <xf numFmtId="174" fontId="12" fillId="0" borderId="146" xfId="48" applyNumberFormat="1" applyFont="1" applyBorder="1" applyAlignment="1" applyProtection="1">
      <alignment vertical="center"/>
      <protection hidden="1"/>
    </xf>
    <xf numFmtId="43" fontId="12" fillId="0" borderId="146" xfId="48" applyFont="1" applyBorder="1" applyAlignment="1" applyProtection="1">
      <alignment vertical="center"/>
      <protection hidden="1"/>
    </xf>
    <xf numFmtId="170" fontId="12" fillId="0" borderId="146" xfId="1" applyNumberFormat="1" applyFont="1" applyBorder="1" applyAlignment="1" applyProtection="1">
      <alignment vertical="center"/>
    </xf>
    <xf numFmtId="0" fontId="13" fillId="27" borderId="146" xfId="2" applyFont="1" applyFill="1" applyBorder="1" applyAlignment="1" applyProtection="1">
      <alignment horizontal="center" vertical="center"/>
    </xf>
    <xf numFmtId="0" fontId="13" fillId="29" borderId="146" xfId="2" applyFont="1" applyFill="1" applyBorder="1" applyAlignment="1" applyProtection="1">
      <alignment horizontal="center" vertical="center"/>
    </xf>
    <xf numFmtId="174" fontId="66" fillId="45" borderId="146" xfId="48" applyNumberFormat="1" applyFont="1" applyFill="1" applyBorder="1" applyAlignment="1" applyProtection="1">
      <alignment horizontal="center" vertical="center"/>
    </xf>
    <xf numFmtId="9" fontId="66" fillId="45" borderId="146" xfId="0" applyNumberFormat="1" applyFont="1" applyFill="1" applyBorder="1" applyAlignment="1">
      <alignment vertical="center"/>
    </xf>
    <xf numFmtId="0" fontId="66" fillId="45" borderId="146" xfId="0" applyFont="1" applyFill="1" applyBorder="1" applyAlignment="1">
      <alignment horizontal="center" vertical="center"/>
    </xf>
    <xf numFmtId="170" fontId="66" fillId="45" borderId="146" xfId="0" applyNumberFormat="1" applyFont="1" applyFill="1" applyBorder="1" applyAlignment="1" applyProtection="1">
      <alignment horizontal="center" vertical="center"/>
      <protection hidden="1"/>
    </xf>
    <xf numFmtId="0" fontId="12" fillId="45" borderId="146" xfId="0" applyFont="1" applyFill="1" applyBorder="1" applyAlignment="1" applyProtection="1">
      <alignment horizontal="center" vertical="center"/>
      <protection hidden="1"/>
    </xf>
    <xf numFmtId="43" fontId="12" fillId="0" borderId="146" xfId="48" applyFont="1" applyBorder="1" applyAlignment="1" applyProtection="1">
      <alignment horizontal="center" vertical="center"/>
      <protection hidden="1"/>
    </xf>
    <xf numFmtId="0" fontId="13" fillId="0" borderId="153" xfId="0" applyFont="1" applyBorder="1" applyAlignment="1" applyProtection="1">
      <alignment vertical="center"/>
      <protection hidden="1"/>
    </xf>
    <xf numFmtId="0" fontId="0" fillId="0" borderId="154" xfId="0" applyBorder="1" applyAlignment="1" applyProtection="1">
      <alignment vertical="center"/>
      <protection hidden="1"/>
    </xf>
    <xf numFmtId="0" fontId="0" fillId="0" borderId="146" xfId="0" applyBorder="1" applyAlignment="1" applyProtection="1">
      <alignment vertical="center"/>
      <protection hidden="1"/>
    </xf>
    <xf numFmtId="0" fontId="13" fillId="0" borderId="153" xfId="0" applyFont="1" applyBorder="1" applyAlignment="1">
      <alignment vertical="center"/>
    </xf>
    <xf numFmtId="0" fontId="0" fillId="0" borderId="154" xfId="0" applyBorder="1" applyAlignment="1">
      <alignment vertical="center"/>
    </xf>
    <xf numFmtId="165" fontId="11" fillId="0" borderId="153" xfId="0" applyNumberFormat="1" applyFont="1" applyBorder="1" applyAlignment="1">
      <alignment horizontal="center" vertical="center"/>
    </xf>
    <xf numFmtId="165" fontId="11" fillId="0" borderId="155" xfId="0" applyNumberFormat="1" applyFont="1" applyBorder="1" applyAlignment="1">
      <alignment horizontal="center" vertical="center"/>
    </xf>
    <xf numFmtId="165" fontId="11" fillId="0" borderId="155" xfId="0" applyNumberFormat="1" applyFont="1" applyBorder="1" applyAlignment="1">
      <alignment horizontal="center" vertical="center"/>
    </xf>
    <xf numFmtId="9" fontId="12" fillId="0" borderId="154" xfId="0" quotePrefix="1" applyNumberFormat="1" applyFont="1" applyBorder="1" applyAlignment="1">
      <alignment vertical="center"/>
    </xf>
    <xf numFmtId="9" fontId="12" fillId="0" borderId="154" xfId="0" applyNumberFormat="1" applyFont="1" applyBorder="1" applyAlignment="1">
      <alignment vertical="center"/>
    </xf>
    <xf numFmtId="0" fontId="12" fillId="0" borderId="154" xfId="0" applyFont="1" applyBorder="1" applyAlignment="1">
      <alignment vertical="center"/>
    </xf>
    <xf numFmtId="170" fontId="12" fillId="0" borderId="146" xfId="1" applyNumberFormat="1" applyFont="1" applyFill="1" applyBorder="1" applyAlignment="1" applyProtection="1">
      <alignment vertical="center"/>
    </xf>
    <xf numFmtId="0" fontId="38" fillId="0" borderId="154" xfId="0" applyFont="1" applyBorder="1" applyAlignment="1">
      <alignment vertical="center" wrapText="1"/>
    </xf>
    <xf numFmtId="0" fontId="0" fillId="0" borderId="154" xfId="0" applyBorder="1" applyAlignment="1">
      <alignment vertical="center" wrapText="1"/>
    </xf>
    <xf numFmtId="44" fontId="9" fillId="0" borderId="154" xfId="1" applyFont="1" applyFill="1" applyBorder="1" applyAlignment="1" applyProtection="1">
      <alignment vertical="center" wrapText="1"/>
    </xf>
    <xf numFmtId="37" fontId="9" fillId="0" borderId="154" xfId="1" applyNumberFormat="1" applyFont="1" applyFill="1" applyBorder="1" applyAlignment="1" applyProtection="1">
      <alignment vertical="center"/>
    </xf>
    <xf numFmtId="0" fontId="0" fillId="0" borderId="163" xfId="0" applyBorder="1" applyAlignment="1">
      <alignment vertical="center"/>
    </xf>
    <xf numFmtId="0" fontId="9" fillId="0" borderId="163" xfId="0" applyFont="1" applyBorder="1" applyAlignment="1">
      <alignment vertical="center"/>
    </xf>
    <xf numFmtId="0" fontId="0" fillId="0" borderId="164" xfId="0" applyBorder="1" applyAlignment="1" applyProtection="1">
      <alignment vertical="center" wrapText="1"/>
      <protection locked="0"/>
    </xf>
    <xf numFmtId="3" fontId="9" fillId="4" borderId="165" xfId="10" applyNumberFormat="1" applyFill="1" applyBorder="1" applyAlignment="1" applyProtection="1">
      <alignment horizontal="center" vertical="center" wrapText="1"/>
      <protection locked="0"/>
    </xf>
    <xf numFmtId="3" fontId="9" fillId="4" borderId="154" xfId="10" applyNumberFormat="1" applyFill="1" applyBorder="1" applyAlignment="1" applyProtection="1">
      <alignment horizontal="center" vertical="center" wrapText="1"/>
      <protection locked="0"/>
    </xf>
    <xf numFmtId="3" fontId="9" fillId="4" borderId="155" xfId="10" applyNumberFormat="1" applyFill="1" applyBorder="1" applyAlignment="1" applyProtection="1">
      <alignment horizontal="center" vertical="center" wrapText="1"/>
      <protection locked="0"/>
    </xf>
    <xf numFmtId="0" fontId="0" fillId="7" borderId="166" xfId="0" applyFill="1" applyBorder="1" applyAlignment="1">
      <alignment horizontal="center"/>
    </xf>
    <xf numFmtId="0" fontId="0" fillId="7" borderId="166" xfId="0" applyFill="1" applyBorder="1" applyAlignment="1">
      <alignment horizontal="center" vertical="center"/>
    </xf>
    <xf numFmtId="0" fontId="9" fillId="7" borderId="167" xfId="0" quotePrefix="1" applyFont="1" applyFill="1" applyBorder="1" applyAlignment="1">
      <alignment horizontal="center" vertical="center" wrapText="1"/>
    </xf>
    <xf numFmtId="0" fontId="9" fillId="7" borderId="166" xfId="0" applyFont="1" applyFill="1" applyBorder="1" applyAlignment="1">
      <alignment horizontal="center"/>
    </xf>
    <xf numFmtId="0" fontId="0" fillId="0" borderId="166" xfId="0" applyBorder="1" applyAlignment="1">
      <alignment horizontal="center"/>
    </xf>
    <xf numFmtId="0" fontId="0" fillId="40" borderId="166" xfId="0" applyFill="1" applyBorder="1" applyAlignment="1">
      <alignment horizontal="center"/>
    </xf>
    <xf numFmtId="0" fontId="9" fillId="40" borderId="168" xfId="0" quotePrefix="1" applyFont="1" applyFill="1" applyBorder="1" applyAlignment="1">
      <alignment horizontal="center" wrapText="1"/>
    </xf>
    <xf numFmtId="0" fontId="9" fillId="40" borderId="167" xfId="0" quotePrefix="1" applyFont="1" applyFill="1" applyBorder="1" applyAlignment="1">
      <alignment wrapText="1"/>
    </xf>
    <xf numFmtId="0" fontId="9" fillId="4" borderId="166" xfId="9" applyFill="1" applyBorder="1" applyAlignment="1" applyProtection="1">
      <alignment horizontal="left" vertical="center" wrapText="1"/>
      <protection locked="0"/>
    </xf>
    <xf numFmtId="0" fontId="0" fillId="0" borderId="166" xfId="0" applyBorder="1" applyAlignment="1" applyProtection="1">
      <alignment vertical="center" wrapText="1"/>
      <protection locked="0"/>
    </xf>
    <xf numFmtId="44" fontId="11" fillId="0" borderId="166" xfId="1" applyFont="1" applyFill="1" applyBorder="1" applyAlignment="1" applyProtection="1">
      <alignment vertical="center" wrapText="1"/>
    </xf>
    <xf numFmtId="37" fontId="11" fillId="0" borderId="166" xfId="1" applyNumberFormat="1" applyFont="1" applyFill="1" applyBorder="1" applyAlignment="1" applyProtection="1">
      <alignment vertical="center"/>
    </xf>
    <xf numFmtId="0" fontId="9" fillId="4" borderId="166" xfId="9" applyFill="1" applyBorder="1" applyAlignment="1" applyProtection="1">
      <alignment vertical="center" wrapText="1"/>
      <protection locked="0"/>
    </xf>
    <xf numFmtId="44" fontId="9" fillId="0" borderId="166" xfId="1" applyFont="1" applyFill="1" applyBorder="1" applyAlignment="1" applyProtection="1">
      <alignment vertical="center" wrapText="1"/>
    </xf>
    <xf numFmtId="9" fontId="9" fillId="4" borderId="166" xfId="1" applyNumberFormat="1" applyFont="1" applyFill="1" applyBorder="1" applyAlignment="1" applyProtection="1">
      <alignment vertical="center"/>
      <protection locked="0"/>
    </xf>
    <xf numFmtId="0" fontId="0" fillId="4" borderId="166" xfId="0" applyFill="1" applyBorder="1" applyAlignment="1" applyProtection="1">
      <alignment vertical="center" wrapText="1"/>
      <protection locked="0"/>
    </xf>
    <xf numFmtId="37" fontId="9" fillId="0" borderId="166" xfId="1" applyNumberFormat="1" applyFont="1" applyFill="1" applyBorder="1" applyAlignment="1" applyProtection="1">
      <alignment vertical="center"/>
    </xf>
    <xf numFmtId="0" fontId="11" fillId="0" borderId="166" xfId="9" applyFont="1" applyBorder="1" applyAlignment="1">
      <alignment vertical="center" wrapText="1"/>
    </xf>
    <xf numFmtId="169" fontId="11" fillId="0" borderId="166" xfId="9" applyNumberFormat="1" applyFont="1" applyBorder="1" applyAlignment="1">
      <alignment horizontal="center" vertical="center"/>
    </xf>
    <xf numFmtId="44" fontId="11" fillId="0" borderId="166" xfId="1" applyFont="1" applyFill="1" applyBorder="1" applyAlignment="1" applyProtection="1">
      <alignment vertical="center"/>
    </xf>
    <xf numFmtId="169" fontId="11" fillId="0" borderId="166" xfId="9" applyNumberFormat="1" applyFont="1" applyBorder="1" applyAlignment="1">
      <alignment horizontal="center" vertical="center" wrapText="1"/>
    </xf>
    <xf numFmtId="0" fontId="9" fillId="4" borderId="166" xfId="9" applyFill="1" applyBorder="1" applyAlignment="1" applyProtection="1">
      <alignment vertical="center" wrapText="1"/>
      <protection locked="0"/>
    </xf>
    <xf numFmtId="169" fontId="9" fillId="4" borderId="166" xfId="9" applyNumberFormat="1" applyFill="1" applyBorder="1" applyAlignment="1" applyProtection="1">
      <alignment horizontal="center" vertical="center"/>
      <protection locked="0"/>
    </xf>
    <xf numFmtId="39" fontId="9" fillId="4" borderId="166" xfId="1" applyNumberFormat="1" applyFont="1" applyFill="1" applyBorder="1" applyAlignment="1" applyProtection="1">
      <alignment vertical="center"/>
      <protection locked="0"/>
    </xf>
    <xf numFmtId="0" fontId="0" fillId="0" borderId="163" xfId="0" applyBorder="1" applyAlignment="1" applyProtection="1">
      <alignment vertical="center"/>
      <protection locked="0"/>
    </xf>
    <xf numFmtId="0" fontId="9" fillId="0" borderId="163" xfId="0" applyFont="1" applyBorder="1" applyAlignment="1" applyProtection="1">
      <alignment vertical="center"/>
      <protection locked="0"/>
    </xf>
    <xf numFmtId="0" fontId="9" fillId="4" borderId="163" xfId="9" applyFill="1" applyBorder="1" applyAlignment="1" applyProtection="1">
      <alignment horizontal="left" vertical="center" wrapText="1"/>
      <protection locked="0"/>
    </xf>
    <xf numFmtId="0" fontId="9" fillId="4" borderId="164" xfId="9" applyFill="1" applyBorder="1" applyAlignment="1" applyProtection="1">
      <alignment horizontal="left" vertical="center" wrapText="1"/>
      <protection locked="0"/>
    </xf>
    <xf numFmtId="44" fontId="11" fillId="0" borderId="166" xfId="1" applyFont="1" applyFill="1" applyBorder="1" applyAlignment="1" applyProtection="1">
      <alignment vertical="center" wrapText="1"/>
      <protection locked="0"/>
    </xf>
    <xf numFmtId="170" fontId="11" fillId="0" borderId="166" xfId="1" applyNumberFormat="1" applyFont="1" applyFill="1" applyBorder="1" applyAlignment="1" applyProtection="1">
      <alignment vertical="center"/>
      <protection locked="0"/>
    </xf>
    <xf numFmtId="44" fontId="9" fillId="0" borderId="166" xfId="1" applyFont="1" applyFill="1" applyBorder="1" applyAlignment="1" applyProtection="1">
      <alignment vertical="center" wrapText="1"/>
      <protection locked="0"/>
    </xf>
    <xf numFmtId="170" fontId="9" fillId="0" borderId="166" xfId="1" applyNumberFormat="1" applyFont="1" applyFill="1" applyBorder="1" applyAlignment="1" applyProtection="1">
      <alignment vertical="center"/>
      <protection locked="0"/>
    </xf>
    <xf numFmtId="0" fontId="11" fillId="0" borderId="166" xfId="9" applyFont="1" applyBorder="1" applyAlignment="1" applyProtection="1">
      <alignment vertical="center"/>
      <protection locked="0"/>
    </xf>
    <xf numFmtId="169" fontId="11" fillId="0" borderId="166" xfId="9" applyNumberFormat="1" applyFont="1" applyBorder="1" applyAlignment="1" applyProtection="1">
      <alignment horizontal="center" vertical="center"/>
      <protection locked="0"/>
    </xf>
    <xf numFmtId="44" fontId="11" fillId="0" borderId="166" xfId="1" applyFont="1" applyFill="1" applyBorder="1" applyAlignment="1" applyProtection="1">
      <alignment vertical="center"/>
      <protection locked="0"/>
    </xf>
    <xf numFmtId="0" fontId="9" fillId="4" borderId="166" xfId="9" applyFill="1" applyBorder="1" applyAlignment="1" applyProtection="1">
      <alignment vertical="center"/>
      <protection locked="0"/>
    </xf>
    <xf numFmtId="3" fontId="9" fillId="4" borderId="166" xfId="9" applyNumberFormat="1" applyFill="1" applyBorder="1" applyAlignment="1" applyProtection="1">
      <alignment horizontal="center" vertical="center"/>
      <protection locked="0"/>
    </xf>
    <xf numFmtId="44" fontId="9" fillId="4" borderId="166" xfId="1" applyFont="1" applyFill="1" applyBorder="1" applyAlignment="1" applyProtection="1">
      <alignment vertical="center"/>
      <protection locked="0"/>
    </xf>
    <xf numFmtId="0" fontId="11" fillId="4" borderId="166" xfId="9" applyFont="1" applyFill="1" applyBorder="1" applyAlignment="1" applyProtection="1">
      <alignment vertical="center"/>
      <protection locked="0"/>
    </xf>
    <xf numFmtId="168" fontId="89" fillId="63" borderId="164" xfId="8" applyNumberFormat="1" applyFont="1" applyFill="1" applyBorder="1" applyAlignment="1">
      <alignment horizontal="left" vertical="center"/>
    </xf>
    <xf numFmtId="168" fontId="52" fillId="0" borderId="166" xfId="8" applyNumberFormat="1" applyFont="1" applyBorder="1" applyAlignment="1">
      <alignment horizontal="left" vertical="center" wrapText="1"/>
    </xf>
    <xf numFmtId="0" fontId="9" fillId="0" borderId="166" xfId="8" applyBorder="1" applyAlignment="1">
      <alignment horizontal="left" vertical="center" wrapText="1"/>
    </xf>
    <xf numFmtId="0" fontId="9" fillId="0" borderId="138" xfId="8" applyBorder="1" applyAlignment="1">
      <alignment horizontal="left" vertical="center" wrapText="1"/>
    </xf>
    <xf numFmtId="168" fontId="52" fillId="63" borderId="163" xfId="2" applyNumberFormat="1" applyFont="1" applyFill="1" applyBorder="1" applyAlignment="1" applyProtection="1">
      <alignment horizontal="left" vertical="center"/>
    </xf>
    <xf numFmtId="168" fontId="52" fillId="63" borderId="164" xfId="2" applyNumberFormat="1" applyFont="1" applyFill="1" applyBorder="1" applyAlignment="1" applyProtection="1">
      <alignment horizontal="left" vertical="center"/>
    </xf>
    <xf numFmtId="168" fontId="52" fillId="63" borderId="163" xfId="8" applyNumberFormat="1" applyFont="1" applyFill="1" applyBorder="1" applyAlignment="1">
      <alignment horizontal="left" vertical="center"/>
    </xf>
    <xf numFmtId="168" fontId="52" fillId="63" borderId="164" xfId="8" applyNumberFormat="1" applyFont="1" applyFill="1" applyBorder="1" applyAlignment="1">
      <alignment horizontal="left" vertical="center" wrapText="1"/>
    </xf>
    <xf numFmtId="168" fontId="52" fillId="63" borderId="163" xfId="8" applyNumberFormat="1" applyFont="1" applyFill="1" applyBorder="1" applyAlignment="1">
      <alignment horizontal="left" vertical="center" wrapText="1"/>
    </xf>
    <xf numFmtId="168" fontId="52" fillId="63" borderId="156" xfId="8" applyNumberFormat="1" applyFont="1" applyFill="1" applyBorder="1" applyAlignment="1">
      <alignment horizontal="left" vertical="center" wrapText="1"/>
    </xf>
    <xf numFmtId="164" fontId="13" fillId="0" borderId="169" xfId="8" applyNumberFormat="1" applyFont="1" applyBorder="1" applyAlignment="1">
      <alignment vertical="center"/>
    </xf>
    <xf numFmtId="4" fontId="13" fillId="0" borderId="166" xfId="8" applyNumberFormat="1" applyFont="1" applyBorder="1" applyAlignment="1">
      <alignment horizontal="center" vertical="center" wrapText="1"/>
    </xf>
    <xf numFmtId="4" fontId="13" fillId="0" borderId="166" xfId="8" applyNumberFormat="1" applyFont="1" applyBorder="1" applyAlignment="1">
      <alignment horizontal="center" vertical="center" wrapText="1"/>
    </xf>
    <xf numFmtId="4" fontId="13" fillId="0" borderId="166" xfId="8" applyNumberFormat="1" applyFont="1" applyBorder="1" applyAlignment="1">
      <alignment horizontal="left" vertical="center" wrapText="1"/>
    </xf>
    <xf numFmtId="0" fontId="88" fillId="60" borderId="165" xfId="0" applyFont="1" applyFill="1" applyBorder="1" applyAlignment="1">
      <alignment horizontal="center" vertical="center" wrapText="1"/>
    </xf>
    <xf numFmtId="0" fontId="88" fillId="60" borderId="154" xfId="0" applyFont="1" applyFill="1" applyBorder="1" applyAlignment="1">
      <alignment horizontal="center" vertical="center" wrapText="1"/>
    </xf>
    <xf numFmtId="0" fontId="88" fillId="60" borderId="155" xfId="0" applyFont="1" applyFill="1" applyBorder="1" applyAlignment="1">
      <alignment horizontal="center" vertical="center" wrapText="1"/>
    </xf>
    <xf numFmtId="0" fontId="11" fillId="0" borderId="166" xfId="0" applyFont="1" applyBorder="1" applyAlignment="1">
      <alignment vertical="center"/>
    </xf>
    <xf numFmtId="0" fontId="11" fillId="0" borderId="166" xfId="0" applyFont="1" applyBorder="1" applyAlignment="1">
      <alignment vertical="center"/>
    </xf>
    <xf numFmtId="0" fontId="0" fillId="0" borderId="166" xfId="0" applyBorder="1" applyAlignment="1">
      <alignment vertical="center"/>
    </xf>
    <xf numFmtId="0" fontId="11" fillId="0" borderId="166" xfId="0" applyFont="1" applyBorder="1" applyAlignment="1">
      <alignment vertical="center" wrapText="1"/>
    </xf>
    <xf numFmtId="0" fontId="11" fillId="0" borderId="166" xfId="0" applyFont="1" applyBorder="1" applyAlignment="1">
      <alignment horizontal="center" vertical="center"/>
    </xf>
    <xf numFmtId="0" fontId="11" fillId="0" borderId="166" xfId="0" applyFont="1" applyBorder="1" applyAlignment="1">
      <alignment horizontal="center" vertical="center" wrapText="1"/>
    </xf>
    <xf numFmtId="0" fontId="11" fillId="0" borderId="166" xfId="0" applyFont="1" applyBorder="1" applyAlignment="1">
      <alignment horizontal="center" vertical="center"/>
    </xf>
    <xf numFmtId="0" fontId="11" fillId="3" borderId="166" xfId="0" applyFont="1" applyFill="1" applyBorder="1" applyAlignment="1">
      <alignment horizontal="center" vertical="center"/>
    </xf>
    <xf numFmtId="0" fontId="0" fillId="0" borderId="156" xfId="0" applyBorder="1" applyAlignment="1">
      <alignment horizontal="center" vertical="center" wrapText="1"/>
    </xf>
    <xf numFmtId="0" fontId="9" fillId="0" borderId="156" xfId="0" applyFont="1" applyBorder="1" applyAlignment="1">
      <alignment horizontal="center" vertical="center" wrapText="1"/>
    </xf>
    <xf numFmtId="0" fontId="0" fillId="3" borderId="156" xfId="0" applyFill="1" applyBorder="1" applyAlignment="1">
      <alignment horizontal="center" vertical="center" wrapText="1"/>
    </xf>
    <xf numFmtId="0" fontId="0" fillId="31" borderId="156" xfId="0" applyFill="1" applyBorder="1" applyAlignment="1">
      <alignment horizontal="center" vertical="center" wrapText="1"/>
    </xf>
    <xf numFmtId="0" fontId="0" fillId="8" borderId="156" xfId="0" applyFill="1" applyBorder="1" applyAlignment="1">
      <alignment vertical="center" wrapText="1"/>
    </xf>
    <xf numFmtId="0" fontId="0" fillId="8" borderId="156" xfId="0" applyFill="1" applyBorder="1" applyAlignment="1">
      <alignment horizontal="right" vertical="center" wrapText="1"/>
    </xf>
    <xf numFmtId="167" fontId="0" fillId="7" borderId="166" xfId="0" applyNumberFormat="1" applyFill="1" applyBorder="1" applyAlignment="1">
      <alignment horizontal="right" vertical="center"/>
    </xf>
    <xf numFmtId="0" fontId="29" fillId="6" borderId="156" xfId="0" applyFont="1" applyFill="1" applyBorder="1" applyAlignment="1">
      <alignment horizontal="right" vertical="center" wrapText="1"/>
    </xf>
    <xf numFmtId="0" fontId="0" fillId="0" borderId="156" xfId="0" applyBorder="1" applyAlignment="1">
      <alignment horizontal="right" vertical="center" wrapText="1"/>
    </xf>
    <xf numFmtId="0" fontId="0" fillId="0" borderId="156" xfId="0" applyBorder="1" applyAlignment="1">
      <alignment vertical="center" wrapText="1"/>
    </xf>
    <xf numFmtId="167" fontId="9" fillId="7" borderId="166" xfId="0" applyNumberFormat="1" applyFont="1" applyFill="1" applyBorder="1" applyAlignment="1">
      <alignment horizontal="right" vertical="center"/>
    </xf>
    <xf numFmtId="167" fontId="0" fillId="0" borderId="156" xfId="0" applyNumberFormat="1" applyBorder="1" applyAlignment="1">
      <alignment vertical="center" wrapText="1"/>
    </xf>
    <xf numFmtId="0" fontId="0" fillId="0" borderId="166" xfId="0" applyBorder="1" applyAlignment="1">
      <alignment horizontal="right" vertical="center" wrapText="1"/>
    </xf>
    <xf numFmtId="0" fontId="9" fillId="0" borderId="156" xfId="0" applyFont="1" applyBorder="1" applyAlignment="1">
      <alignment horizontal="right" vertical="center" wrapText="1"/>
    </xf>
    <xf numFmtId="167" fontId="0" fillId="0" borderId="156" xfId="0" applyNumberFormat="1" applyBorder="1" applyAlignment="1">
      <alignment horizontal="right" vertical="center" wrapText="1"/>
    </xf>
    <xf numFmtId="49" fontId="30" fillId="0" borderId="156" xfId="50" applyNumberFormat="1" applyFont="1" applyBorder="1" applyAlignment="1">
      <alignment horizontal="right" vertical="center" wrapText="1"/>
    </xf>
    <xf numFmtId="0" fontId="30" fillId="0" borderId="156" xfId="50" applyFont="1" applyBorder="1" applyAlignment="1">
      <alignment horizontal="right" vertical="center" wrapText="1"/>
    </xf>
    <xf numFmtId="0" fontId="9" fillId="0" borderId="156" xfId="50" applyBorder="1" applyAlignment="1">
      <alignment horizontal="right" vertical="center" wrapText="1"/>
    </xf>
    <xf numFmtId="49" fontId="9" fillId="0" borderId="166" xfId="50" applyNumberFormat="1" applyBorder="1" applyAlignment="1">
      <alignment horizontal="right" vertical="center" wrapText="1"/>
    </xf>
    <xf numFmtId="0" fontId="30" fillId="0" borderId="166" xfId="50" applyFont="1" applyBorder="1" applyAlignment="1">
      <alignment horizontal="right" vertical="center" wrapText="1"/>
    </xf>
    <xf numFmtId="167" fontId="0" fillId="0" borderId="166" xfId="0" applyNumberFormat="1" applyBorder="1" applyAlignment="1">
      <alignment vertical="center" wrapText="1"/>
    </xf>
    <xf numFmtId="167" fontId="9" fillId="0" borderId="166" xfId="0" applyNumberFormat="1" applyFont="1" applyBorder="1" applyAlignment="1">
      <alignment vertical="center" wrapText="1"/>
    </xf>
    <xf numFmtId="166" fontId="9" fillId="0" borderId="154" xfId="8" applyNumberFormat="1" applyBorder="1" applyAlignment="1">
      <alignment vertical="center"/>
    </xf>
    <xf numFmtId="49" fontId="9" fillId="0" borderId="154" xfId="8" applyNumberFormat="1" applyBorder="1" applyAlignment="1">
      <alignment horizontal="center" vertical="center"/>
    </xf>
    <xf numFmtId="0" fontId="9" fillId="0" borderId="154" xfId="8" applyBorder="1" applyAlignment="1">
      <alignment vertical="center" wrapText="1"/>
    </xf>
    <xf numFmtId="0" fontId="9" fillId="0" borderId="154" xfId="8" applyBorder="1" applyAlignment="1">
      <alignment vertical="center"/>
    </xf>
    <xf numFmtId="0" fontId="9" fillId="47" borderId="154" xfId="8" applyFill="1" applyBorder="1" applyAlignment="1">
      <alignment vertical="center" wrapText="1"/>
    </xf>
    <xf numFmtId="49" fontId="9" fillId="0" borderId="154" xfId="9" applyNumberFormat="1" applyBorder="1" applyAlignment="1">
      <alignment horizontal="center" vertical="center"/>
    </xf>
    <xf numFmtId="49" fontId="9" fillId="30" borderId="154" xfId="8" applyNumberFormat="1" applyFill="1" applyBorder="1" applyAlignment="1">
      <alignment horizontal="center" vertical="center" wrapText="1"/>
    </xf>
    <xf numFmtId="0" fontId="9" fillId="30" borderId="154" xfId="8" applyFill="1" applyBorder="1" applyAlignment="1">
      <alignment vertical="center" wrapText="1"/>
    </xf>
    <xf numFmtId="0" fontId="9" fillId="0" borderId="154" xfId="9" applyBorder="1" applyAlignment="1">
      <alignment vertical="center" wrapText="1"/>
    </xf>
    <xf numFmtId="0" fontId="9" fillId="0" borderId="154" xfId="9" quotePrefix="1" applyBorder="1" applyAlignment="1">
      <alignment vertical="center" wrapText="1"/>
    </xf>
  </cellXfs>
  <cellStyles count="119">
    <cellStyle name="20% - Accent1 2" xfId="11" xr:uid="{00000000-0005-0000-0000-000000000000}"/>
    <cellStyle name="20% - Accent1 2 2" xfId="53" xr:uid="{5D2ACEB6-5010-4A8D-8537-795961523845}"/>
    <cellStyle name="20% - Accent1 2 2 2" xfId="97" xr:uid="{FFCEA23D-C952-4DE9-BAD4-9D7335D3B4C3}"/>
    <cellStyle name="20% - Accent1 2 3" xfId="76" xr:uid="{634D9050-B130-470E-81BB-4CBC38E716DC}"/>
    <cellStyle name="20% - Accent2 2" xfId="12" xr:uid="{00000000-0005-0000-0000-000001000000}"/>
    <cellStyle name="20% - Accent2 2 2" xfId="54" xr:uid="{8DEF0780-0A06-43C1-BE8F-CEE01C2A538A}"/>
    <cellStyle name="20% - Accent2 2 2 2" xfId="98" xr:uid="{E899B315-9FA9-4453-A967-C0F8C39978A7}"/>
    <cellStyle name="20% - Accent2 2 3" xfId="77" xr:uid="{4FF171C9-0C3F-43A6-A62B-DAC35572D57B}"/>
    <cellStyle name="20% - Accent3 2" xfId="13" xr:uid="{00000000-0005-0000-0000-000002000000}"/>
    <cellStyle name="20% - Accent3 2 2" xfId="55" xr:uid="{19584F6C-CCEC-4D3A-8EF7-DF3F72B09EE3}"/>
    <cellStyle name="20% - Accent3 2 2 2" xfId="99" xr:uid="{48BC1CF8-183E-490D-A1AC-22ABB1584E74}"/>
    <cellStyle name="20% - Accent3 2 3" xfId="78" xr:uid="{AD35824E-452F-4398-B7CA-49851C08FA72}"/>
    <cellStyle name="20% - Accent4 2" xfId="14" xr:uid="{00000000-0005-0000-0000-000003000000}"/>
    <cellStyle name="20% - Accent4 2 2" xfId="56" xr:uid="{6A4BA44C-6448-4B63-A541-5380073CC9D0}"/>
    <cellStyle name="20% - Accent4 2 2 2" xfId="100" xr:uid="{2084116F-104F-4680-B88F-EBA5AAAFEEBA}"/>
    <cellStyle name="20% - Accent4 2 3" xfId="79" xr:uid="{667C4378-B253-48A6-A79C-F03FC05753EF}"/>
    <cellStyle name="20% - Accent5 2" xfId="15" xr:uid="{00000000-0005-0000-0000-000004000000}"/>
    <cellStyle name="20% - Accent5 2 2" xfId="57" xr:uid="{25C50E23-6DE0-4BD8-9477-1637FF25EA7B}"/>
    <cellStyle name="20% - Accent5 2 2 2" xfId="101" xr:uid="{E6A2F8C7-454F-44E2-AB30-B2B42F166E1C}"/>
    <cellStyle name="20% - Accent5 2 3" xfId="80" xr:uid="{7A08EC95-F093-4203-9E13-51E751DF6641}"/>
    <cellStyle name="20% - Accent6 2" xfId="16" xr:uid="{00000000-0005-0000-0000-000005000000}"/>
    <cellStyle name="20% - Accent6 2 2" xfId="58" xr:uid="{8C1BEF98-5C3B-4A1F-B3D3-C15D2C2A2A3C}"/>
    <cellStyle name="20% - Accent6 2 2 2" xfId="102" xr:uid="{4C9B57D2-E061-4198-9DC7-F24CA3B5AFB8}"/>
    <cellStyle name="20% - Accent6 2 3" xfId="81" xr:uid="{979D1FB2-2A26-48CA-97FE-BD4339169BA7}"/>
    <cellStyle name="40% - Accent1 2" xfId="17" xr:uid="{00000000-0005-0000-0000-000006000000}"/>
    <cellStyle name="40% - Accent1 2 2" xfId="59" xr:uid="{DCC21989-5495-48E0-84E2-289F99BE4559}"/>
    <cellStyle name="40% - Accent1 2 2 2" xfId="103" xr:uid="{7302114A-8270-4ED2-BD3D-512F34096D19}"/>
    <cellStyle name="40% - Accent1 2 3" xfId="82" xr:uid="{66C3486A-7B13-4265-ADE1-925F2D053C98}"/>
    <cellStyle name="40% - Accent2 2" xfId="18" xr:uid="{00000000-0005-0000-0000-000007000000}"/>
    <cellStyle name="40% - Accent2 2 2" xfId="60" xr:uid="{DC147998-C681-4B88-A517-8F8840B1DC0A}"/>
    <cellStyle name="40% - Accent2 2 2 2" xfId="104" xr:uid="{54364FD9-D7B5-4366-8F0F-3F72D9C06774}"/>
    <cellStyle name="40% - Accent2 2 3" xfId="83" xr:uid="{C0663CA2-3359-4A7A-B2D3-68F2A5EDEF42}"/>
    <cellStyle name="40% - Accent3 2" xfId="19" xr:uid="{00000000-0005-0000-0000-000008000000}"/>
    <cellStyle name="40% - Accent3 2 2" xfId="61" xr:uid="{164C7A09-CD24-4F76-ABA5-9368088448EB}"/>
    <cellStyle name="40% - Accent3 2 2 2" xfId="105" xr:uid="{00297546-1C0D-4EC0-AAB1-C34F1F28758D}"/>
    <cellStyle name="40% - Accent3 2 3" xfId="84" xr:uid="{70C146B4-7389-43D2-BAF0-FEB4D2188E09}"/>
    <cellStyle name="40% - Accent4 2" xfId="20" xr:uid="{00000000-0005-0000-0000-000009000000}"/>
    <cellStyle name="40% - Accent4 2 2" xfId="62" xr:uid="{878F129F-F693-42E7-9581-6B3EA993EF2A}"/>
    <cellStyle name="40% - Accent4 2 2 2" xfId="106" xr:uid="{2AFAE2E2-7C93-4F6C-BB2E-04431DBD1D78}"/>
    <cellStyle name="40% - Accent4 2 3" xfId="85" xr:uid="{5FCFABD2-6C20-49E1-99DC-F44C0D6D6423}"/>
    <cellStyle name="40% - Accent5 2" xfId="21" xr:uid="{00000000-0005-0000-0000-00000A000000}"/>
    <cellStyle name="40% - Accent5 2 2" xfId="63" xr:uid="{8EA4F271-BA98-4856-9A66-77B914BA1D31}"/>
    <cellStyle name="40% - Accent5 2 2 2" xfId="107" xr:uid="{65AF2B7D-1C7A-4F41-A276-577BAF9146E2}"/>
    <cellStyle name="40% - Accent5 2 3" xfId="86" xr:uid="{2A1253B0-545F-42A7-89B2-C3D9C13A9202}"/>
    <cellStyle name="40% - Accent6 2" xfId="22" xr:uid="{00000000-0005-0000-0000-00000B000000}"/>
    <cellStyle name="40% - Accent6 2 2" xfId="64" xr:uid="{3420E6D4-F6BB-44D4-84C2-1B2AF14BE7BC}"/>
    <cellStyle name="40% - Accent6 2 2 2" xfId="108" xr:uid="{F6421E7D-3756-4575-88DD-ACF9FF3F2256}"/>
    <cellStyle name="40% - Accent6 2 3" xfId="87" xr:uid="{105A10A5-6BC0-4C34-9B61-1EFB0098F919}"/>
    <cellStyle name="Comma" xfId="48" builtinId="3"/>
    <cellStyle name="Comma 2" xfId="6" xr:uid="{00000000-0005-0000-0000-00000C000000}"/>
    <cellStyle name="Comma 2 2" xfId="51" xr:uid="{F0D7B4B9-6825-4FB1-9C0A-53F6825DA350}"/>
    <cellStyle name="Comma 3" xfId="73" xr:uid="{92A2FF2C-B697-4D07-8E31-A94634F4345A}"/>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10 2" xfId="72" xr:uid="{BF8CEFE3-219F-4E44-B527-296AF130C1BF}"/>
    <cellStyle name="Normal 10 2 2" xfId="116" xr:uid="{78B68B12-60F9-4A58-B356-78C4729992A6}"/>
    <cellStyle name="Normal 10 3" xfId="95" xr:uid="{2B39267F-B29C-4141-B722-42E4125A4F91}"/>
    <cellStyle name="Normal 12" xfId="49" xr:uid="{EE2041D1-D5D0-4795-A4E5-AD53DE8410AF}"/>
    <cellStyle name="Normal 12 2" xfId="74" xr:uid="{1799677A-1827-4B45-8677-BBB4737DAC25}"/>
    <cellStyle name="Normal 12 2 2" xfId="117" xr:uid="{1EC71514-4438-4F22-BC17-2FC792A2E55D}"/>
    <cellStyle name="Normal 12 3" xfId="96" xr:uid="{20FA216E-1D24-495B-AFAB-5E18BF4D6C11}"/>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3 3" xfId="50" xr:uid="{115A89BA-EC03-4748-966B-F7F0CB20C633}"/>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5 2 2" xfId="66" xr:uid="{2004679F-063E-48B0-B58F-1C020E704107}"/>
    <cellStyle name="Normal 5 2 2 2" xfId="110" xr:uid="{E96B6DC1-B1D7-4DAF-91D4-924E27F0B58D}"/>
    <cellStyle name="Normal 5 2 3" xfId="89" xr:uid="{408A7F82-071E-4AFE-9DBE-2AD63453C03F}"/>
    <cellStyle name="Normal 5 3" xfId="65" xr:uid="{4FABFC90-0836-4116-9CD0-F828C9A06976}"/>
    <cellStyle name="Normal 5 3 2" xfId="109" xr:uid="{218FA4E8-4979-4A70-809E-15477647712F}"/>
    <cellStyle name="Normal 5 4" xfId="88" xr:uid="{1CC71017-D812-447C-A107-84475A008321}"/>
    <cellStyle name="Normal 6" xfId="37" xr:uid="{00000000-0005-0000-0000-000025000000}"/>
    <cellStyle name="Normal 6 2" xfId="38" xr:uid="{00000000-0005-0000-0000-000026000000}"/>
    <cellStyle name="Normal 6 2 2" xfId="67" xr:uid="{74C9E20F-DE41-46C2-9E54-C4E8AB65081A}"/>
    <cellStyle name="Normal 6 2 2 2" xfId="111" xr:uid="{F64FFB92-09A5-456B-A40F-FF28A557B7B1}"/>
    <cellStyle name="Normal 6 2 3" xfId="90" xr:uid="{08109540-C8B4-4779-9DCD-00B6563B7A5C}"/>
    <cellStyle name="Normal 7" xfId="39" xr:uid="{00000000-0005-0000-0000-000027000000}"/>
    <cellStyle name="Normal 7 2" xfId="75" xr:uid="{BD1A5C38-D27A-4CAA-AF2D-7E6CE7CB9AE4}"/>
    <cellStyle name="Normal 7 2 2" xfId="118" xr:uid="{E9AC6629-D6BB-48A3-B788-25AC6B6C7243}"/>
    <cellStyle name="Normal 8" xfId="40" xr:uid="{00000000-0005-0000-0000-000028000000}"/>
    <cellStyle name="Normal 8 2" xfId="68" xr:uid="{89C57242-97FC-4656-81DB-CF314985AD83}"/>
    <cellStyle name="Normal 8 2 2" xfId="112" xr:uid="{FA70F4F3-A131-4104-936A-A580C2212B02}"/>
    <cellStyle name="Normal 8 3" xfId="91" xr:uid="{83A1B064-25AA-4B8B-A4A8-23F0F7803AB3}"/>
    <cellStyle name="Normal 9" xfId="45" xr:uid="{00000000-0005-0000-0000-000029000000}"/>
    <cellStyle name="Normal 9 2" xfId="71" xr:uid="{01C6298D-5F59-4164-83A3-4C8EDF3986EC}"/>
    <cellStyle name="Normal 9 2 2" xfId="115" xr:uid="{0BF864A0-7A02-4FC2-8D92-07DBD99F6448}"/>
    <cellStyle name="Normal 9 3" xfId="94" xr:uid="{E0BF2727-9967-4A23-827F-4A2609896530}"/>
    <cellStyle name="Note 2" xfId="41" xr:uid="{00000000-0005-0000-0000-00002A000000}"/>
    <cellStyle name="Note 2 2" xfId="42" xr:uid="{00000000-0005-0000-0000-00002B000000}"/>
    <cellStyle name="Note 2 2 2" xfId="70" xr:uid="{0740339F-7713-4021-ACD1-8419A707BE78}"/>
    <cellStyle name="Note 2 2 2 2" xfId="114" xr:uid="{0D4C5BAF-B0FF-4B26-9A18-D9DF9528D83A}"/>
    <cellStyle name="Note 2 2 3" xfId="93" xr:uid="{545246D5-AAF9-4B70-8CE4-815D2DCCE355}"/>
    <cellStyle name="Note 2 3" xfId="69" xr:uid="{069218CE-F6F0-43CC-B3F5-7BBB54E7FE33}"/>
    <cellStyle name="Note 2 3 2" xfId="113" xr:uid="{8F74EEA5-D315-43BE-89B1-2CFC41923039}"/>
    <cellStyle name="Note 2 4" xfId="92" xr:uid="{8C9095B9-6224-4C59-ACA8-B17EA5BA5D72}"/>
    <cellStyle name="Percent" xfId="47" builtinId="5"/>
    <cellStyle name="Percent 2" xfId="7" xr:uid="{00000000-0005-0000-0000-00002D000000}"/>
    <cellStyle name="Percent 2 2" xfId="52" xr:uid="{E76E18E4-E88E-433C-B399-CC815E0EAB02}"/>
    <cellStyle name="Percent 3" xfId="43" xr:uid="{00000000-0005-0000-0000-00002E000000}"/>
    <cellStyle name="Total 2" xfId="44" xr:uid="{00000000-0005-0000-0000-00002F000000}"/>
  </cellStyles>
  <dxfs count="200">
    <dxf>
      <font>
        <b/>
      </font>
      <alignment horizontal="center" vertical="top" textRotation="0" wrapText="0" indent="0" justifyLastLine="0" shrinkToFit="0" readingOrder="0"/>
    </dxf>
    <dxf>
      <font>
        <b/>
      </font>
      <alignment horizontal="center" vertical="top" textRotation="0" wrapText="0" indent="0" justifyLastLine="0" shrinkToFit="0" readingOrder="0"/>
    </dxf>
    <dxf>
      <alignment horizontal="general" vertical="top" textRotation="0" wrapText="1" indent="0" justifyLastLine="0" shrinkToFit="0" readingOrder="0"/>
    </dxf>
    <dxf>
      <numFmt numFmtId="19" formatCode="m/d/yyyy"/>
      <alignment horizontal="center" vertical="top" textRotation="0" wrapText="0" indent="0" justifyLastLine="0" shrinkToFit="0" readingOrder="0"/>
    </dxf>
    <dxf>
      <numFmt numFmtId="19" formatCode="m/d/yyyy"/>
      <alignment horizontal="center" vertical="top" textRotation="0" wrapText="0" indent="0" justifyLastLine="0" shrinkToFit="0" readingOrder="0"/>
    </dxf>
    <dxf>
      <alignment horizontal="center" vertical="top" textRotation="0" wrapText="0" indent="0" justifyLastLine="0" shrinkToFit="0" readingOrder="0"/>
    </dxf>
    <dxf>
      <alignment horizontal="general" vertical="top" textRotation="0" indent="0" justifyLastLine="0" shrinkToFit="0" readingOrder="0"/>
    </dxf>
    <dxf>
      <font>
        <strike val="0"/>
        <outline val="0"/>
        <shadow val="0"/>
        <u val="none"/>
        <vertAlign val="baseline"/>
        <sz val="11"/>
        <color theme="0"/>
        <name val="Calibri"/>
        <family val="2"/>
        <scheme val="minor"/>
      </font>
      <alignment horizontal="center" vertical="top" textRotation="0" wrapText="0" indent="0" justifyLastLine="0" shrinkToFit="0" readingOrder="0"/>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color theme="0"/>
      </font>
      <fill>
        <patternFill>
          <bgColor theme="1" tint="0.34998626667073579"/>
        </patternFill>
      </fill>
    </dxf>
    <dxf>
      <numFmt numFmtId="27" formatCode="m/d/yyyy\ h:mm"/>
    </dxf>
    <dxf>
      <font>
        <b/>
        <i val="0"/>
        <strike val="0"/>
        <condense val="0"/>
        <extend val="0"/>
        <outline val="0"/>
        <shadow val="0"/>
        <u val="none"/>
        <vertAlign val="baseline"/>
        <sz val="10"/>
        <color auto="1"/>
        <name val="Arial"/>
        <family val="2"/>
        <scheme val="none"/>
      </font>
    </dxf>
    <dxf>
      <fill>
        <gradientFill degree="45">
          <stop position="0">
            <color theme="0"/>
          </stop>
          <stop position="1">
            <color rgb="FF00B050"/>
          </stop>
        </gradientFill>
      </fill>
      <border>
        <left style="thin">
          <color rgb="FF0000CC"/>
        </left>
        <right style="thin">
          <color rgb="FF0000CC"/>
        </right>
        <top style="thin">
          <color rgb="FF0000CC"/>
        </top>
        <bottom style="thin">
          <color rgb="FF0000CC"/>
        </bottom>
        <vertical/>
        <horizontal/>
      </border>
    </dxf>
    <dxf>
      <font>
        <color theme="0"/>
      </font>
      <fill>
        <patternFill patternType="none">
          <bgColor auto="1"/>
        </patternFill>
      </fill>
    </dxf>
    <dxf>
      <font>
        <color theme="0"/>
      </font>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rgb="FFFF9900"/>
      </font>
    </dxf>
    <dxf>
      <font>
        <b/>
        <i val="0"/>
        <color rgb="FFFF9900"/>
      </font>
    </dxf>
    <dxf>
      <font>
        <b/>
        <i val="0"/>
        <color rgb="FFFF9900"/>
      </font>
    </dxf>
    <dxf>
      <font>
        <color rgb="FF9C0006"/>
      </font>
      <fill>
        <patternFill>
          <bgColor rgb="FFFFC7CE"/>
        </patternFill>
      </fill>
    </dxf>
    <dxf>
      <font>
        <b/>
        <i val="0"/>
        <color rgb="FFFF9900"/>
      </font>
    </dxf>
    <dxf>
      <fill>
        <patternFill>
          <bgColor theme="5" tint="0.79998168889431442"/>
        </patternFill>
      </fill>
    </dxf>
    <dxf>
      <font>
        <b/>
        <i val="0"/>
        <color rgb="FFFF9900"/>
      </font>
    </dxf>
    <dxf>
      <font>
        <b/>
        <i val="0"/>
        <color rgb="FFFF9900"/>
      </font>
    </dxf>
    <dxf>
      <font>
        <b/>
        <i val="0"/>
        <color rgb="FFFF9900"/>
      </font>
    </dxf>
    <dxf>
      <font>
        <b/>
        <i val="0"/>
        <color rgb="FFFF9900"/>
      </font>
    </dxf>
    <dxf>
      <fill>
        <patternFill>
          <bgColor theme="9" tint="0.79998168889431442"/>
        </patternFill>
      </fill>
    </dxf>
    <dxf>
      <fill>
        <patternFill>
          <bgColor theme="9" tint="0.79998168889431442"/>
        </patternFill>
      </fill>
    </dxf>
    <dxf>
      <font>
        <b/>
        <i val="0"/>
      </font>
    </dxf>
    <dxf>
      <font>
        <b/>
        <i val="0"/>
        <color theme="0" tint="-0.34998626667073579"/>
      </font>
    </dxf>
    <dxf>
      <font>
        <b/>
        <i val="0"/>
      </font>
    </dxf>
    <dxf>
      <font>
        <b/>
        <i val="0"/>
        <color theme="0" tint="-0.34998626667073579"/>
      </font>
    </dxf>
    <dxf>
      <font>
        <b/>
        <i val="0"/>
      </font>
    </dxf>
    <dxf>
      <font>
        <b/>
        <i val="0"/>
        <color theme="0" tint="-0.34998626667073579"/>
      </font>
    </dxf>
    <dxf>
      <fill>
        <patternFill>
          <bgColor rgb="FF99FF99"/>
        </patternFill>
      </fill>
      <border>
        <left/>
        <right/>
        <top/>
        <bottom/>
      </border>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ill>
        <patternFill>
          <bgColor theme="9" tint="0.79998168889431442"/>
        </pattern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b/>
        <i val="0"/>
        <strike val="0"/>
        <condense val="0"/>
        <extend val="0"/>
        <outline val="0"/>
        <shadow val="0"/>
        <u val="none"/>
        <vertAlign val="baseline"/>
        <sz val="10"/>
        <color indexed="10"/>
        <name val="Arial"/>
        <scheme val="none"/>
      </font>
      <numFmt numFmtId="13" formatCode="0%"/>
      <alignment horizontal="center" vertical="top" textRotation="0" wrapText="0" indent="0" justifyLastLine="0" shrinkToFit="0" readingOrder="0"/>
      <border diagonalUp="0" diagonalDown="0">
        <left style="thin">
          <color indexed="22"/>
        </left>
        <right/>
        <top style="thin">
          <color indexed="22"/>
        </top>
        <bottom style="thin">
          <color indexed="22"/>
        </bottom>
      </border>
      <protection locked="1" hidden="1"/>
    </dxf>
    <dxf>
      <font>
        <b/>
        <i val="0"/>
        <strike val="0"/>
        <condense val="0"/>
        <extend val="0"/>
        <outline val="0"/>
        <shadow val="0"/>
        <u val="none"/>
        <vertAlign val="baseline"/>
        <sz val="10"/>
        <color indexed="10"/>
        <name val="Arial"/>
        <family val="2"/>
        <scheme val="none"/>
      </font>
      <alignment horizontal="center" vertical="top" textRotation="0" wrapText="0" indent="0" justifyLastLine="0" shrinkToFit="0" readingOrder="0"/>
      <border diagonalUp="0" diagonalDown="0">
        <left style="thin">
          <color indexed="22"/>
        </left>
        <right style="thin">
          <color indexed="22"/>
        </right>
        <top style="thin">
          <color indexed="22"/>
        </top>
        <bottom/>
      </border>
      <protection locked="1" hidden="1"/>
    </dxf>
    <dxf>
      <font>
        <b/>
        <i val="0"/>
        <strike val="0"/>
        <condense val="0"/>
        <extend val="0"/>
        <outline val="0"/>
        <shadow val="0"/>
        <u val="none"/>
        <vertAlign val="baseline"/>
        <sz val="10"/>
        <color indexed="10"/>
        <name val="Arial"/>
        <scheme val="none"/>
      </font>
      <alignment horizontal="center" vertical="top" textRotation="0" wrapText="0" indent="0" justifyLastLine="0" shrinkToFit="0" readingOrder="0"/>
      <border diagonalUp="0" diagonalDown="0">
        <left/>
        <right style="thin">
          <color indexed="22"/>
        </right>
        <top style="thin">
          <color indexed="22"/>
        </top>
        <bottom style="thin">
          <color indexed="22"/>
        </bottom>
      </border>
      <protection locked="1" hidden="1"/>
    </dxf>
    <dxf>
      <border diagonalUp="0" diagonalDown="0">
        <left/>
        <right/>
        <top/>
        <bottom style="thin">
          <color indexed="22"/>
        </bottom>
      </border>
    </dxf>
    <dxf>
      <font>
        <b/>
      </font>
      <alignment horizontal="center" vertical="top" textRotation="0" wrapText="0" indent="0" justifyLastLine="0" shrinkToFit="0" readingOrder="0"/>
      <protection locked="1" hidden="1"/>
    </dxf>
    <dxf>
      <font>
        <strike val="0"/>
        <outline val="0"/>
        <shadow val="0"/>
        <u val="none"/>
        <vertAlign val="baseline"/>
        <sz val="8"/>
        <color auto="1"/>
        <name val="Arial"/>
        <scheme val="none"/>
      </font>
      <alignment horizontal="center" vertical="top" textRotation="0" indent="0" justifyLastLine="0" shrinkToFit="0" readingOrder="0"/>
      <protection locked="1" hidden="1"/>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0000CC"/>
      <color rgb="FFFFFFCC"/>
      <color rgb="FFFF00FF"/>
      <color rgb="FFCCFFFF"/>
      <color rgb="FFCC66FF"/>
      <color rgb="FFCC99FF"/>
      <color rgb="FF006600"/>
      <color rgb="FF33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446341679200205E-2"/>
          <c:y val="0.16222838650023116"/>
          <c:w val="0.87771082297609182"/>
          <c:h val="0.72127476783848621"/>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578443612151473E-2"/>
                  <c:y val="-0.34772097662549462"/>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200" b="1" baseline="0"/>
                      <a:t>y = -0.06x + 1.06</a:t>
                    </a:r>
                    <a:br>
                      <a:rPr lang="en-US" sz="1200" b="1" baseline="0"/>
                    </a:br>
                    <a:r>
                      <a:rPr lang="en-US" sz="1200" b="1" baseline="0"/>
                      <a:t>R² = 1</a:t>
                    </a:r>
                    <a:endParaRPr lang="en-US" sz="12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Multiplier'!$M$46:$M$47</c:f>
              <c:numCache>
                <c:formatCode>General</c:formatCode>
                <c:ptCount val="2"/>
                <c:pt idx="0">
                  <c:v>1</c:v>
                </c:pt>
                <c:pt idx="1">
                  <c:v>2</c:v>
                </c:pt>
              </c:numCache>
            </c:numRef>
          </c:xVal>
          <c:yVal>
            <c:numRef>
              <c:f>'Cost  Multiplier'!$N$46:$N$47</c:f>
              <c:numCache>
                <c:formatCode>General</c:formatCode>
                <c:ptCount val="2"/>
                <c:pt idx="0">
                  <c:v>1</c:v>
                </c:pt>
                <c:pt idx="1">
                  <c:v>0.94</c:v>
                </c:pt>
              </c:numCache>
            </c:numRef>
          </c:yVal>
          <c:smooth val="0"/>
          <c:extLst>
            <c:ext xmlns:c16="http://schemas.microsoft.com/office/drawing/2014/chart" uri="{C3380CC4-5D6E-409C-BE32-E72D297353CC}">
              <c16:uniqueId val="{00000000-9FAD-40CE-8C41-B102A4AEECEF}"/>
            </c:ext>
          </c:extLst>
        </c:ser>
        <c:dLbls>
          <c:showLegendKey val="0"/>
          <c:showVal val="0"/>
          <c:showCatName val="0"/>
          <c:showSerName val="0"/>
          <c:showPercent val="0"/>
          <c:showBubbleSize val="0"/>
        </c:dLbls>
        <c:axId val="1799896016"/>
        <c:axId val="1799896976"/>
      </c:scatterChart>
      <c:valAx>
        <c:axId val="1799896016"/>
        <c:scaling>
          <c:orientation val="minMax"/>
          <c:max val="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Multiplier for SF</a:t>
            </a:r>
          </a:p>
          <a:p>
            <a:pPr>
              <a:defRPr/>
            </a:pPr>
            <a:r>
              <a:rPr lang="en-US" b="1"/>
              <a:t>1&lt;=SF&lt;3.5</a:t>
            </a:r>
          </a:p>
        </c:rich>
      </c:tx>
      <c:overlay val="0"/>
      <c:spPr>
        <a:noFill/>
        <a:ln w="1270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'Cost  Multiplier'!$N$41</c:f>
              <c:strCache>
                <c:ptCount val="1"/>
                <c:pt idx="0">
                  <c:v>Cost Multiplier</c:v>
                </c:pt>
              </c:strCache>
            </c:strRef>
          </c:tx>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2.1228743410915431E-2"/>
                  <c:y val="-0.43140927171617788"/>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-0.0389x + 1.0311</a:t>
                    </a:r>
                    <a:br>
                      <a:rPr lang="en-US" sz="1600" b="1" baseline="0"/>
                    </a:br>
                    <a:r>
                      <a:rPr lang="en-US" sz="1600" b="1" baseline="0"/>
                      <a:t>R² = 0.9481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Multiplier'!$M$46:$M$48</c:f>
              <c:numCache>
                <c:formatCode>General</c:formatCode>
                <c:ptCount val="3"/>
                <c:pt idx="0">
                  <c:v>1</c:v>
                </c:pt>
                <c:pt idx="1">
                  <c:v>2</c:v>
                </c:pt>
                <c:pt idx="2">
                  <c:v>3.5</c:v>
                </c:pt>
              </c:numCache>
            </c:numRef>
          </c:xVal>
          <c:yVal>
            <c:numRef>
              <c:f>'Cost  Multiplier'!$N$46:$N$48</c:f>
              <c:numCache>
                <c:formatCode>General</c:formatCode>
                <c:ptCount val="3"/>
                <c:pt idx="0">
                  <c:v>1</c:v>
                </c:pt>
                <c:pt idx="1">
                  <c:v>0.94</c:v>
                </c:pt>
                <c:pt idx="2">
                  <c:v>0.9</c:v>
                </c:pt>
              </c:numCache>
            </c:numRef>
          </c:yVal>
          <c:smooth val="1"/>
          <c:extLst>
            <c:ext xmlns:c16="http://schemas.microsoft.com/office/drawing/2014/chart" uri="{C3380CC4-5D6E-409C-BE32-E72D297353CC}">
              <c16:uniqueId val="{00000000-13CB-40C4-9282-BF1C9339505E}"/>
            </c:ext>
          </c:extLst>
        </c:ser>
        <c:dLbls>
          <c:showLegendKey val="0"/>
          <c:showVal val="0"/>
          <c:showCatName val="0"/>
          <c:showSerName val="0"/>
          <c:showPercent val="0"/>
          <c:showBubbleSize val="0"/>
        </c:dLbls>
        <c:axId val="306687375"/>
        <c:axId val="306687855"/>
      </c:scatterChart>
      <c:valAx>
        <c:axId val="306687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 </a:t>
                </a:r>
              </a:p>
            </c:rich>
          </c:tx>
          <c:layout>
            <c:manualLayout>
              <c:xMode val="edge"/>
              <c:yMode val="edge"/>
              <c:x val="0.42034633883922612"/>
              <c:y val="0.89800224098152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855"/>
        <c:crosses val="autoZero"/>
        <c:crossBetween val="midCat"/>
      </c:valAx>
      <c:valAx>
        <c:axId val="306687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layout>
            <c:manualLayout>
              <c:xMode val="edge"/>
              <c:yMode val="edge"/>
              <c:x val="1.4091594253070609E-2"/>
              <c:y val="0.353954633609328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375"/>
        <c:crosses val="autoZero"/>
        <c:crossBetween val="midCat"/>
      </c:valAx>
      <c:spPr>
        <a:noFill/>
        <a:ln w="12700">
          <a:solidFill>
            <a:schemeClr val="accent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Mutiplier for SF</a:t>
            </a:r>
            <a:br>
              <a:rPr lang="en-US" b="1"/>
            </a:br>
            <a:r>
              <a:rPr lang="en-US" b="1"/>
              <a:t>0.5&lt;=SF&lt;1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807962167829878"/>
                  <c:y val="-0.38498356335912304"/>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-0.2x + 1.2</a:t>
                    </a:r>
                    <a:br>
                      <a:rPr lang="en-US" sz="1600" b="1" baseline="0"/>
                    </a:br>
                    <a:r>
                      <a:rPr lang="en-US" sz="1600" b="1" baseline="0"/>
                      <a:t>R² = 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'Cost  Multiplier'!$M$43:$M$45</c:f>
              <c:numCache>
                <c:formatCode>General</c:formatCode>
                <c:ptCount val="3"/>
                <c:pt idx="0">
                  <c:v>0.5</c:v>
                </c:pt>
                <c:pt idx="1">
                  <c:v>1</c:v>
                </c:pt>
                <c:pt idx="2">
                  <c:v>1</c:v>
                </c:pt>
              </c:numCache>
            </c:numRef>
          </c:xVal>
          <c:yVal>
            <c:numRef>
              <c:f>'Cost  Multiplier'!$N$43:$N$44</c:f>
              <c:numCache>
                <c:formatCode>General</c:formatCode>
                <c:ptCount val="2"/>
                <c:pt idx="0">
                  <c:v>1.1000000000000001</c:v>
                </c:pt>
                <c:pt idx="1">
                  <c:v>1</c:v>
                </c:pt>
              </c:numCache>
            </c:numRef>
          </c:yVal>
          <c:smooth val="0"/>
          <c:extLst>
            <c:ext xmlns:c16="http://schemas.microsoft.com/office/drawing/2014/chart" uri="{C3380CC4-5D6E-409C-BE32-E72D297353CC}">
              <c16:uniqueId val="{00000000-AB9D-4DC6-BC6C-431ABED93704}"/>
            </c:ext>
          </c:extLst>
        </c:ser>
        <c:dLbls>
          <c:dLblPos val="t"/>
          <c:showLegendKey val="0"/>
          <c:showVal val="1"/>
          <c:showCatName val="0"/>
          <c:showSerName val="0"/>
          <c:showPercent val="0"/>
          <c:showBubbleSize val="0"/>
        </c:dLbls>
        <c:axId val="573024752"/>
        <c:axId val="573025232"/>
      </c:scatterChart>
      <c:valAx>
        <c:axId val="573024752"/>
        <c:scaling>
          <c:orientation val="minMax"/>
          <c:max val="1"/>
          <c:min val="0.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5232"/>
        <c:crosses val="autoZero"/>
        <c:crossBetween val="midCat"/>
        <c:majorUnit val="5.000000000000001E-2"/>
        <c:minorUnit val="5.000000000000001E-2"/>
      </c:valAx>
      <c:valAx>
        <c:axId val="573025232"/>
        <c:scaling>
          <c:orientation val="minMax"/>
          <c:max val="1.2"/>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4752"/>
        <c:crossesAt val="0"/>
        <c:crossBetween val="midCat"/>
        <c:majorUnit val="5.000000000000001E-2"/>
        <c:min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805774278215228E-2"/>
                  <c:y val="-0.5142805353750670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Multiplier'!$M$47:$M$48</c:f>
              <c:numCache>
                <c:formatCode>General</c:formatCode>
                <c:ptCount val="2"/>
                <c:pt idx="0">
                  <c:v>2</c:v>
                </c:pt>
                <c:pt idx="1">
                  <c:v>3.5</c:v>
                </c:pt>
              </c:numCache>
            </c:numRef>
          </c:xVal>
          <c:yVal>
            <c:numRef>
              <c:f>'Cost  Multiplier'!$N$47:$N$48</c:f>
              <c:numCache>
                <c:formatCode>General</c:formatCode>
                <c:ptCount val="2"/>
                <c:pt idx="0">
                  <c:v>0.94</c:v>
                </c:pt>
                <c:pt idx="1">
                  <c:v>0.9</c:v>
                </c:pt>
              </c:numCache>
            </c:numRef>
          </c:yVal>
          <c:smooth val="0"/>
          <c:extLst>
            <c:ext xmlns:c16="http://schemas.microsoft.com/office/drawing/2014/chart" uri="{C3380CC4-5D6E-409C-BE32-E72D297353CC}">
              <c16:uniqueId val="{00000001-CFDD-445A-AB50-7B019C9BF569}"/>
            </c:ext>
          </c:extLst>
        </c:ser>
        <c:dLbls>
          <c:showLegendKey val="0"/>
          <c:showVal val="0"/>
          <c:showCatName val="0"/>
          <c:showSerName val="0"/>
          <c:showPercent val="0"/>
          <c:showBubbleSize val="0"/>
        </c:dLbls>
        <c:axId val="1799896016"/>
        <c:axId val="1799896976"/>
      </c:scatterChart>
      <c:valAx>
        <c:axId val="1799896016"/>
        <c:scaling>
          <c:orientation val="minMax"/>
          <c:max val="3.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323849</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90382</xdr:colOff>
      <xdr:row>26</xdr:row>
      <xdr:rowOff>112183</xdr:rowOff>
    </xdr:from>
    <xdr:to>
      <xdr:col>7</xdr:col>
      <xdr:colOff>2072217</xdr:colOff>
      <xdr:row>31</xdr:row>
      <xdr:rowOff>209550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2349057" y="689398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542925</xdr:colOff>
      <xdr:row>3</xdr:row>
      <xdr:rowOff>171450</xdr:rowOff>
    </xdr:from>
    <xdr:to>
      <xdr:col>5</xdr:col>
      <xdr:colOff>167640</xdr:colOff>
      <xdr:row>6</xdr:row>
      <xdr:rowOff>201930</xdr:rowOff>
    </xdr:to>
    <xdr:sp macro="" textlink="">
      <xdr:nvSpPr>
        <xdr:cNvPr id="7" name="Rounded Rectangular Callout 3">
          <a:extLst>
            <a:ext uri="{FF2B5EF4-FFF2-40B4-BE49-F238E27FC236}">
              <a16:creationId xmlns:a16="http://schemas.microsoft.com/office/drawing/2014/main" id="{00000000-0008-0000-0D00-000007000000}"/>
            </a:ext>
          </a:extLst>
        </xdr:cNvPr>
        <xdr:cNvSpPr/>
      </xdr:nvSpPr>
      <xdr:spPr>
        <a:xfrm>
          <a:off x="6629400" y="1314450"/>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304800</xdr:colOff>
      <xdr:row>12</xdr:row>
      <xdr:rowOff>76200</xdr:rowOff>
    </xdr:from>
    <xdr:to>
      <xdr:col>10</xdr:col>
      <xdr:colOff>28575</xdr:colOff>
      <xdr:row>13</xdr:row>
      <xdr:rowOff>146684</xdr:rowOff>
    </xdr:to>
    <xdr:sp macro="" textlink="">
      <xdr:nvSpPr>
        <xdr:cNvPr id="9" name="Rounded Rectangular Callout 3">
          <a:extLst>
            <a:ext uri="{FF2B5EF4-FFF2-40B4-BE49-F238E27FC236}">
              <a16:creationId xmlns:a16="http://schemas.microsoft.com/office/drawing/2014/main" id="{00000000-0008-0000-0D00-000009000000}"/>
            </a:ext>
          </a:extLst>
        </xdr:cNvPr>
        <xdr:cNvSpPr/>
      </xdr:nvSpPr>
      <xdr:spPr>
        <a:xfrm>
          <a:off x="15240000" y="346710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276225</xdr:colOff>
      <xdr:row>22</xdr:row>
      <xdr:rowOff>9525</xdr:rowOff>
    </xdr:from>
    <xdr:to>
      <xdr:col>10</xdr:col>
      <xdr:colOff>113241</xdr:colOff>
      <xdr:row>25</xdr:row>
      <xdr:rowOff>38521</xdr:rowOff>
    </xdr:to>
    <xdr:sp macro="" textlink="">
      <xdr:nvSpPr>
        <xdr:cNvPr id="11" name="Rounded Rectangular Callout 3">
          <a:extLst>
            <a:ext uri="{FF2B5EF4-FFF2-40B4-BE49-F238E27FC236}">
              <a16:creationId xmlns:a16="http://schemas.microsoft.com/office/drawing/2014/main" id="{00000000-0008-0000-0D00-00000B000000}"/>
            </a:ext>
          </a:extLst>
        </xdr:cNvPr>
        <xdr:cNvSpPr/>
      </xdr:nvSpPr>
      <xdr:spPr>
        <a:xfrm>
          <a:off x="15211425" y="5876925"/>
          <a:ext cx="1389591"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257175</xdr:colOff>
      <xdr:row>18</xdr:row>
      <xdr:rowOff>95250</xdr:rowOff>
    </xdr:from>
    <xdr:to>
      <xdr:col>10</xdr:col>
      <xdr:colOff>103716</xdr:colOff>
      <xdr:row>21</xdr:row>
      <xdr:rowOff>112816</xdr:rowOff>
    </xdr:to>
    <xdr:sp macro="" textlink="">
      <xdr:nvSpPr>
        <xdr:cNvPr id="2" name="Rounded Rectangular Callout 3">
          <a:extLst>
            <a:ext uri="{FF2B5EF4-FFF2-40B4-BE49-F238E27FC236}">
              <a16:creationId xmlns:a16="http://schemas.microsoft.com/office/drawing/2014/main" id="{00000000-0008-0000-0D00-000002000000}"/>
            </a:ext>
          </a:extLst>
        </xdr:cNvPr>
        <xdr:cNvSpPr/>
      </xdr:nvSpPr>
      <xdr:spPr>
        <a:xfrm>
          <a:off x="15192375" y="459105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twoCellAnchor>
    <xdr:from>
      <xdr:col>4</xdr:col>
      <xdr:colOff>276225</xdr:colOff>
      <xdr:row>7</xdr:row>
      <xdr:rowOff>76200</xdr:rowOff>
    </xdr:from>
    <xdr:to>
      <xdr:col>4</xdr:col>
      <xdr:colOff>2015490</xdr:colOff>
      <xdr:row>9</xdr:row>
      <xdr:rowOff>97155</xdr:rowOff>
    </xdr:to>
    <xdr:sp macro="" textlink="">
      <xdr:nvSpPr>
        <xdr:cNvPr id="3" name="Rounded Rectangular Callout 3">
          <a:extLst>
            <a:ext uri="{FF2B5EF4-FFF2-40B4-BE49-F238E27FC236}">
              <a16:creationId xmlns:a16="http://schemas.microsoft.com/office/drawing/2014/main" id="{5521C3A8-A64A-4619-98AA-BFF86C6DF810}"/>
            </a:ext>
          </a:extLst>
        </xdr:cNvPr>
        <xdr:cNvSpPr/>
      </xdr:nvSpPr>
      <xdr:spPr>
        <a:xfrm>
          <a:off x="6191250" y="1676400"/>
          <a:ext cx="1739265" cy="478155"/>
        </a:xfrm>
        <a:prstGeom prst="wedgeRoundRectCallout">
          <a:avLst>
            <a:gd name="adj1" fmla="val -62094"/>
            <a:gd name="adj2" fmla="val 14345"/>
            <a:gd name="adj3" fmla="val 16667"/>
          </a:avLst>
        </a:prstGeom>
        <a:ln>
          <a:solidFill>
            <a:schemeClr val="accent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4">
                  <a:lumMod val="50000"/>
                </a:schemeClr>
              </a:solidFill>
              <a:effectLst/>
            </a:rPr>
            <a:t>Please</a:t>
          </a:r>
          <a:r>
            <a:rPr lang="en-US" baseline="0">
              <a:solidFill>
                <a:schemeClr val="accent4">
                  <a:lumMod val="50000"/>
                </a:schemeClr>
              </a:solidFill>
              <a:effectLst/>
            </a:rPr>
            <a:t> fill up HCI value</a:t>
          </a:r>
          <a:endParaRPr lang="en-US">
            <a:solidFill>
              <a:schemeClr val="accent4">
                <a:lumMod val="50000"/>
              </a:schemeClr>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E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416349</xdr:colOff>
      <xdr:row>22</xdr:row>
      <xdr:rowOff>30059</xdr:rowOff>
    </xdr:from>
    <xdr:to>
      <xdr:col>10</xdr:col>
      <xdr:colOff>253365</xdr:colOff>
      <xdr:row>25</xdr:row>
      <xdr:rowOff>62865</xdr:rowOff>
    </xdr:to>
    <xdr:sp macro="" textlink="">
      <xdr:nvSpPr>
        <xdr:cNvPr id="2" name="Rounded Rectangular Callout 3">
          <a:extLst>
            <a:ext uri="{FF2B5EF4-FFF2-40B4-BE49-F238E27FC236}">
              <a16:creationId xmlns:a16="http://schemas.microsoft.com/office/drawing/2014/main" id="{00000000-0008-0000-1000-000002000000}"/>
            </a:ext>
          </a:extLst>
        </xdr:cNvPr>
        <xdr:cNvSpPr/>
      </xdr:nvSpPr>
      <xdr:spPr>
        <a:xfrm>
          <a:off x="15351549" y="5440259"/>
          <a:ext cx="1389591" cy="71860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7</xdr:col>
      <xdr:colOff>147532</xdr:colOff>
      <xdr:row>26</xdr:row>
      <xdr:rowOff>16933</xdr:rowOff>
    </xdr:from>
    <xdr:to>
      <xdr:col>8</xdr:col>
      <xdr:colOff>14817</xdr:colOff>
      <xdr:row>31</xdr:row>
      <xdr:rowOff>114300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12406207" y="679873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552450</xdr:colOff>
      <xdr:row>3</xdr:row>
      <xdr:rowOff>182879</xdr:rowOff>
    </xdr:from>
    <xdr:to>
      <xdr:col>5</xdr:col>
      <xdr:colOff>167640</xdr:colOff>
      <xdr:row>6</xdr:row>
      <xdr:rowOff>217169</xdr:rowOff>
    </xdr:to>
    <xdr:sp macro="" textlink="">
      <xdr:nvSpPr>
        <xdr:cNvPr id="9" name="Rounded Rectangular Callout 3">
          <a:extLst>
            <a:ext uri="{FF2B5EF4-FFF2-40B4-BE49-F238E27FC236}">
              <a16:creationId xmlns:a16="http://schemas.microsoft.com/office/drawing/2014/main" id="{00000000-0008-0000-1000-000009000000}"/>
            </a:ext>
          </a:extLst>
        </xdr:cNvPr>
        <xdr:cNvSpPr/>
      </xdr:nvSpPr>
      <xdr:spPr>
        <a:xfrm>
          <a:off x="6638925" y="868679"/>
          <a:ext cx="1786890" cy="72009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407670</xdr:colOff>
      <xdr:row>12</xdr:row>
      <xdr:rowOff>125731</xdr:rowOff>
    </xdr:from>
    <xdr:to>
      <xdr:col>10</xdr:col>
      <xdr:colOff>123825</xdr:colOff>
      <xdr:row>13</xdr:row>
      <xdr:rowOff>200025</xdr:rowOff>
    </xdr:to>
    <xdr:sp macro="" textlink="">
      <xdr:nvSpPr>
        <xdr:cNvPr id="12" name="Rounded Rectangular Callout 3">
          <a:extLst>
            <a:ext uri="{FF2B5EF4-FFF2-40B4-BE49-F238E27FC236}">
              <a16:creationId xmlns:a16="http://schemas.microsoft.com/office/drawing/2014/main" id="{00000000-0008-0000-1000-00000C000000}"/>
            </a:ext>
          </a:extLst>
        </xdr:cNvPr>
        <xdr:cNvSpPr/>
      </xdr:nvSpPr>
      <xdr:spPr>
        <a:xfrm>
          <a:off x="15342870" y="3059431"/>
          <a:ext cx="1268730" cy="49339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381000</xdr:colOff>
      <xdr:row>18</xdr:row>
      <xdr:rowOff>76200</xdr:rowOff>
    </xdr:from>
    <xdr:to>
      <xdr:col>10</xdr:col>
      <xdr:colOff>227541</xdr:colOff>
      <xdr:row>21</xdr:row>
      <xdr:rowOff>93766</xdr:rowOff>
    </xdr:to>
    <xdr:sp macro="" textlink="">
      <xdr:nvSpPr>
        <xdr:cNvPr id="3" name="Rounded Rectangular Callout 3">
          <a:extLst>
            <a:ext uri="{FF2B5EF4-FFF2-40B4-BE49-F238E27FC236}">
              <a16:creationId xmlns:a16="http://schemas.microsoft.com/office/drawing/2014/main" id="{00000000-0008-0000-1000-000003000000}"/>
            </a:ext>
          </a:extLst>
        </xdr:cNvPr>
        <xdr:cNvSpPr/>
      </xdr:nvSpPr>
      <xdr:spPr>
        <a:xfrm>
          <a:off x="15316200" y="457200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twoCellAnchor>
    <xdr:from>
      <xdr:col>4</xdr:col>
      <xdr:colOff>276225</xdr:colOff>
      <xdr:row>7</xdr:row>
      <xdr:rowOff>133350</xdr:rowOff>
    </xdr:from>
    <xdr:to>
      <xdr:col>4</xdr:col>
      <xdr:colOff>2015490</xdr:colOff>
      <xdr:row>9</xdr:row>
      <xdr:rowOff>154305</xdr:rowOff>
    </xdr:to>
    <xdr:sp macro="" textlink="">
      <xdr:nvSpPr>
        <xdr:cNvPr id="4" name="Rounded Rectangular Callout 3">
          <a:extLst>
            <a:ext uri="{FF2B5EF4-FFF2-40B4-BE49-F238E27FC236}">
              <a16:creationId xmlns:a16="http://schemas.microsoft.com/office/drawing/2014/main" id="{9F817E0A-BA36-495F-ADD7-3AE1ABED8866}"/>
            </a:ext>
          </a:extLst>
        </xdr:cNvPr>
        <xdr:cNvSpPr/>
      </xdr:nvSpPr>
      <xdr:spPr>
        <a:xfrm>
          <a:off x="6191250" y="1733550"/>
          <a:ext cx="1739265" cy="478155"/>
        </a:xfrm>
        <a:prstGeom prst="wedgeRoundRectCallout">
          <a:avLst>
            <a:gd name="adj1" fmla="val -64285"/>
            <a:gd name="adj2" fmla="val -1591"/>
            <a:gd name="adj3" fmla="val 16667"/>
          </a:avLst>
        </a:prstGeom>
        <a:ln>
          <a:solidFill>
            <a:schemeClr val="accent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4">
                  <a:lumMod val="50000"/>
                </a:schemeClr>
              </a:solidFill>
              <a:effectLst/>
            </a:rPr>
            <a:t>Please</a:t>
          </a:r>
          <a:r>
            <a:rPr lang="en-US" baseline="0">
              <a:solidFill>
                <a:schemeClr val="accent4">
                  <a:lumMod val="50000"/>
                </a:schemeClr>
              </a:solidFill>
              <a:effectLst/>
            </a:rPr>
            <a:t> fill up HCI value</a:t>
          </a:r>
          <a:endParaRPr lang="en-US">
            <a:solidFill>
              <a:schemeClr val="accent4">
                <a:lumMod val="50000"/>
              </a:schemeClr>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11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11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6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6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6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793858</xdr:colOff>
      <xdr:row>36</xdr:row>
      <xdr:rowOff>148061</xdr:rowOff>
    </xdr:from>
    <xdr:to>
      <xdr:col>9</xdr:col>
      <xdr:colOff>761596</xdr:colOff>
      <xdr:row>36</xdr:row>
      <xdr:rowOff>160067</xdr:rowOff>
    </xdr:to>
    <xdr:cxnSp macro="">
      <xdr:nvCxnSpPr>
        <xdr:cNvPr id="20" name="Straight Connector 19">
          <a:extLst>
            <a:ext uri="{FF2B5EF4-FFF2-40B4-BE49-F238E27FC236}">
              <a16:creationId xmlns:a16="http://schemas.microsoft.com/office/drawing/2014/main" id="{00000000-0008-0000-1600-000014000000}"/>
            </a:ext>
          </a:extLst>
        </xdr:cNvPr>
        <xdr:cNvCxnSpPr/>
      </xdr:nvCxnSpPr>
      <xdr:spPr>
        <a:xfrm>
          <a:off x="6582941" y="10403311"/>
          <a:ext cx="5418155"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42</xdr:row>
      <xdr:rowOff>124690</xdr:rowOff>
    </xdr:from>
    <xdr:to>
      <xdr:col>9</xdr:col>
      <xdr:colOff>709187</xdr:colOff>
      <xdr:row>42</xdr:row>
      <xdr:rowOff>134045</xdr:rowOff>
    </xdr:to>
    <xdr:cxnSp macro="">
      <xdr:nvCxnSpPr>
        <xdr:cNvPr id="21" name="Straight Connector 20">
          <a:extLst>
            <a:ext uri="{FF2B5EF4-FFF2-40B4-BE49-F238E27FC236}">
              <a16:creationId xmlns:a16="http://schemas.microsoft.com/office/drawing/2014/main" id="{00000000-0008-0000-16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36</xdr:row>
      <xdr:rowOff>133123</xdr:rowOff>
    </xdr:from>
    <xdr:to>
      <xdr:col>4</xdr:col>
      <xdr:colOff>790975</xdr:colOff>
      <xdr:row>37</xdr:row>
      <xdr:rowOff>5661</xdr:rowOff>
    </xdr:to>
    <xdr:cxnSp macro="">
      <xdr:nvCxnSpPr>
        <xdr:cNvPr id="22" name="Straight Arrow Connector 21">
          <a:extLst>
            <a:ext uri="{FF2B5EF4-FFF2-40B4-BE49-F238E27FC236}">
              <a16:creationId xmlns:a16="http://schemas.microsoft.com/office/drawing/2014/main" id="{00000000-0008-0000-16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42</xdr:row>
      <xdr:rowOff>135082</xdr:rowOff>
    </xdr:from>
    <xdr:to>
      <xdr:col>4</xdr:col>
      <xdr:colOff>755250</xdr:colOff>
      <xdr:row>43</xdr:row>
      <xdr:rowOff>4969</xdr:rowOff>
    </xdr:to>
    <xdr:cxnSp macro="">
      <xdr:nvCxnSpPr>
        <xdr:cNvPr id="23" name="Straight Arrow Connector 22">
          <a:extLst>
            <a:ext uri="{FF2B5EF4-FFF2-40B4-BE49-F238E27FC236}">
              <a16:creationId xmlns:a16="http://schemas.microsoft.com/office/drawing/2014/main" id="{00000000-0008-0000-16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36</xdr:row>
      <xdr:rowOff>2593</xdr:rowOff>
    </xdr:from>
    <xdr:to>
      <xdr:col>9</xdr:col>
      <xdr:colOff>736371</xdr:colOff>
      <xdr:row>36</xdr:row>
      <xdr:rowOff>141169</xdr:rowOff>
    </xdr:to>
    <xdr:cxnSp macro="">
      <xdr:nvCxnSpPr>
        <xdr:cNvPr id="25" name="Straight Connector 24">
          <a:extLst>
            <a:ext uri="{FF2B5EF4-FFF2-40B4-BE49-F238E27FC236}">
              <a16:creationId xmlns:a16="http://schemas.microsoft.com/office/drawing/2014/main" id="{00000000-0008-0000-16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41</xdr:row>
      <xdr:rowOff>263235</xdr:rowOff>
    </xdr:from>
    <xdr:to>
      <xdr:col>9</xdr:col>
      <xdr:colOff>696194</xdr:colOff>
      <xdr:row>42</xdr:row>
      <xdr:rowOff>125533</xdr:rowOff>
    </xdr:to>
    <xdr:cxnSp macro="">
      <xdr:nvCxnSpPr>
        <xdr:cNvPr id="26" name="Straight Connector 25">
          <a:extLst>
            <a:ext uri="{FF2B5EF4-FFF2-40B4-BE49-F238E27FC236}">
              <a16:creationId xmlns:a16="http://schemas.microsoft.com/office/drawing/2014/main" id="{00000000-0008-0000-16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38</xdr:row>
      <xdr:rowOff>3933</xdr:rowOff>
    </xdr:from>
    <xdr:to>
      <xdr:col>9</xdr:col>
      <xdr:colOff>705024</xdr:colOff>
      <xdr:row>38</xdr:row>
      <xdr:rowOff>138875</xdr:rowOff>
    </xdr:to>
    <xdr:cxnSp macro="">
      <xdr:nvCxnSpPr>
        <xdr:cNvPr id="11" name="Straight Connector 10">
          <a:extLst>
            <a:ext uri="{FF2B5EF4-FFF2-40B4-BE49-F238E27FC236}">
              <a16:creationId xmlns:a16="http://schemas.microsoft.com/office/drawing/2014/main" id="{00000000-0008-0000-16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38</xdr:row>
      <xdr:rowOff>127820</xdr:rowOff>
    </xdr:from>
    <xdr:to>
      <xdr:col>9</xdr:col>
      <xdr:colOff>710184</xdr:colOff>
      <xdr:row>38</xdr:row>
      <xdr:rowOff>140208</xdr:rowOff>
    </xdr:to>
    <xdr:cxnSp macro="">
      <xdr:nvCxnSpPr>
        <xdr:cNvPr id="13" name="Straight Connector 12">
          <a:extLst>
            <a:ext uri="{FF2B5EF4-FFF2-40B4-BE49-F238E27FC236}">
              <a16:creationId xmlns:a16="http://schemas.microsoft.com/office/drawing/2014/main" id="{00000000-0008-0000-16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38</xdr:row>
      <xdr:rowOff>123666</xdr:rowOff>
    </xdr:from>
    <xdr:to>
      <xdr:col>4</xdr:col>
      <xdr:colOff>785317</xdr:colOff>
      <xdr:row>38</xdr:row>
      <xdr:rowOff>270524</xdr:rowOff>
    </xdr:to>
    <xdr:cxnSp macro="">
      <xdr:nvCxnSpPr>
        <xdr:cNvPr id="14" name="Straight Arrow Connector 13">
          <a:extLst>
            <a:ext uri="{FF2B5EF4-FFF2-40B4-BE49-F238E27FC236}">
              <a16:creationId xmlns:a16="http://schemas.microsoft.com/office/drawing/2014/main" id="{00000000-0008-0000-16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44</xdr:row>
      <xdr:rowOff>113173</xdr:rowOff>
    </xdr:from>
    <xdr:to>
      <xdr:col>9</xdr:col>
      <xdr:colOff>704088</xdr:colOff>
      <xdr:row>44</xdr:row>
      <xdr:rowOff>124968</xdr:rowOff>
    </xdr:to>
    <xdr:cxnSp macro="">
      <xdr:nvCxnSpPr>
        <xdr:cNvPr id="18" name="Straight Connector 17">
          <a:extLst>
            <a:ext uri="{FF2B5EF4-FFF2-40B4-BE49-F238E27FC236}">
              <a16:creationId xmlns:a16="http://schemas.microsoft.com/office/drawing/2014/main" id="{00000000-0008-0000-16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44</xdr:row>
      <xdr:rowOff>119269</xdr:rowOff>
    </xdr:from>
    <xdr:to>
      <xdr:col>4</xdr:col>
      <xdr:colOff>808560</xdr:colOff>
      <xdr:row>44</xdr:row>
      <xdr:rowOff>266127</xdr:rowOff>
    </xdr:to>
    <xdr:cxnSp macro="">
      <xdr:nvCxnSpPr>
        <xdr:cNvPr id="19" name="Straight Arrow Connector 18">
          <a:extLst>
            <a:ext uri="{FF2B5EF4-FFF2-40B4-BE49-F238E27FC236}">
              <a16:creationId xmlns:a16="http://schemas.microsoft.com/office/drawing/2014/main" id="{00000000-0008-0000-16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44</xdr:row>
      <xdr:rowOff>6627</xdr:rowOff>
    </xdr:from>
    <xdr:to>
      <xdr:col>9</xdr:col>
      <xdr:colOff>702367</xdr:colOff>
      <xdr:row>44</xdr:row>
      <xdr:rowOff>138918</xdr:rowOff>
    </xdr:to>
    <xdr:cxnSp macro="">
      <xdr:nvCxnSpPr>
        <xdr:cNvPr id="24" name="Straight Connector 23">
          <a:extLst>
            <a:ext uri="{FF2B5EF4-FFF2-40B4-BE49-F238E27FC236}">
              <a16:creationId xmlns:a16="http://schemas.microsoft.com/office/drawing/2014/main" id="{00000000-0008-0000-16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6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6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6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18</xdr:row>
      <xdr:rowOff>126274</xdr:rowOff>
    </xdr:from>
    <xdr:to>
      <xdr:col>4</xdr:col>
      <xdr:colOff>797011</xdr:colOff>
      <xdr:row>18</xdr:row>
      <xdr:rowOff>269789</xdr:rowOff>
    </xdr:to>
    <xdr:cxnSp macro="">
      <xdr:nvCxnSpPr>
        <xdr:cNvPr id="38" name="Straight Arrow Connector 37">
          <a:extLst>
            <a:ext uri="{FF2B5EF4-FFF2-40B4-BE49-F238E27FC236}">
              <a16:creationId xmlns:a16="http://schemas.microsoft.com/office/drawing/2014/main" id="{32254418-804E-472D-B5CE-9B162CD8FEFC}"/>
            </a:ext>
          </a:extLst>
        </xdr:cNvPr>
        <xdr:cNvCxnSpPr/>
      </xdr:nvCxnSpPr>
      <xdr:spPr>
        <a:xfrm>
          <a:off x="6597559" y="388864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18</xdr:row>
      <xdr:rowOff>125627</xdr:rowOff>
    </xdr:from>
    <xdr:to>
      <xdr:col>9</xdr:col>
      <xdr:colOff>757646</xdr:colOff>
      <xdr:row>18</xdr:row>
      <xdr:rowOff>134982</xdr:rowOff>
    </xdr:to>
    <xdr:cxnSp macro="">
      <xdr:nvCxnSpPr>
        <xdr:cNvPr id="39" name="Straight Connector 38">
          <a:extLst>
            <a:ext uri="{FF2B5EF4-FFF2-40B4-BE49-F238E27FC236}">
              <a16:creationId xmlns:a16="http://schemas.microsoft.com/office/drawing/2014/main" id="{DF7B5B6C-7520-434D-833F-23941682A4B8}"/>
            </a:ext>
          </a:extLst>
        </xdr:cNvPr>
        <xdr:cNvCxnSpPr/>
      </xdr:nvCxnSpPr>
      <xdr:spPr>
        <a:xfrm>
          <a:off x="6589498" y="3888002"/>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18</xdr:row>
      <xdr:rowOff>2060</xdr:rowOff>
    </xdr:from>
    <xdr:to>
      <xdr:col>9</xdr:col>
      <xdr:colOff>753764</xdr:colOff>
      <xdr:row>18</xdr:row>
      <xdr:rowOff>137985</xdr:rowOff>
    </xdr:to>
    <xdr:cxnSp macro="">
      <xdr:nvCxnSpPr>
        <xdr:cNvPr id="40" name="Straight Connector 39">
          <a:extLst>
            <a:ext uri="{FF2B5EF4-FFF2-40B4-BE49-F238E27FC236}">
              <a16:creationId xmlns:a16="http://schemas.microsoft.com/office/drawing/2014/main" id="{885223A1-2771-4AEB-B329-36AE534DA327}"/>
            </a:ext>
          </a:extLst>
        </xdr:cNvPr>
        <xdr:cNvCxnSpPr/>
      </xdr:nvCxnSpPr>
      <xdr:spPr>
        <a:xfrm flipH="1" flipV="1">
          <a:off x="11107437" y="376443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19</xdr:row>
      <xdr:rowOff>265706</xdr:rowOff>
    </xdr:from>
    <xdr:to>
      <xdr:col>9</xdr:col>
      <xdr:colOff>730727</xdr:colOff>
      <xdr:row>20</xdr:row>
      <xdr:rowOff>123677</xdr:rowOff>
    </xdr:to>
    <xdr:cxnSp macro="">
      <xdr:nvCxnSpPr>
        <xdr:cNvPr id="41" name="Straight Connector 40">
          <a:extLst>
            <a:ext uri="{FF2B5EF4-FFF2-40B4-BE49-F238E27FC236}">
              <a16:creationId xmlns:a16="http://schemas.microsoft.com/office/drawing/2014/main" id="{9B5EFDA1-7740-4965-9D39-2AF1ABF37952}"/>
            </a:ext>
          </a:extLst>
        </xdr:cNvPr>
        <xdr:cNvCxnSpPr/>
      </xdr:nvCxnSpPr>
      <xdr:spPr>
        <a:xfrm flipH="1" flipV="1">
          <a:off x="11084400" y="430430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20</xdr:row>
      <xdr:rowOff>112644</xdr:rowOff>
    </xdr:from>
    <xdr:to>
      <xdr:col>9</xdr:col>
      <xdr:colOff>737616</xdr:colOff>
      <xdr:row>20</xdr:row>
      <xdr:rowOff>121920</xdr:rowOff>
    </xdr:to>
    <xdr:cxnSp macro="">
      <xdr:nvCxnSpPr>
        <xdr:cNvPr id="42" name="Straight Connector 41">
          <a:extLst>
            <a:ext uri="{FF2B5EF4-FFF2-40B4-BE49-F238E27FC236}">
              <a16:creationId xmlns:a16="http://schemas.microsoft.com/office/drawing/2014/main" id="{08389FDA-49EB-473E-9007-0E7AE7E19CFC}"/>
            </a:ext>
          </a:extLst>
        </xdr:cNvPr>
        <xdr:cNvCxnSpPr/>
      </xdr:nvCxnSpPr>
      <xdr:spPr>
        <a:xfrm>
          <a:off x="6536222" y="442746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20</xdr:row>
      <xdr:rowOff>112644</xdr:rowOff>
    </xdr:from>
    <xdr:to>
      <xdr:col>4</xdr:col>
      <xdr:colOff>747866</xdr:colOff>
      <xdr:row>20</xdr:row>
      <xdr:rowOff>259502</xdr:rowOff>
    </xdr:to>
    <xdr:cxnSp macro="">
      <xdr:nvCxnSpPr>
        <xdr:cNvPr id="43" name="Straight Arrow Connector 42">
          <a:extLst>
            <a:ext uri="{FF2B5EF4-FFF2-40B4-BE49-F238E27FC236}">
              <a16:creationId xmlns:a16="http://schemas.microsoft.com/office/drawing/2014/main" id="{160D7CD5-AA98-4C2A-A31B-FA44CCD4F40B}"/>
            </a:ext>
          </a:extLst>
        </xdr:cNvPr>
        <xdr:cNvCxnSpPr/>
      </xdr:nvCxnSpPr>
      <xdr:spPr>
        <a:xfrm>
          <a:off x="6548414" y="4427469"/>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24</xdr:row>
      <xdr:rowOff>126274</xdr:rowOff>
    </xdr:from>
    <xdr:to>
      <xdr:col>4</xdr:col>
      <xdr:colOff>797011</xdr:colOff>
      <xdr:row>24</xdr:row>
      <xdr:rowOff>269789</xdr:rowOff>
    </xdr:to>
    <xdr:cxnSp macro="">
      <xdr:nvCxnSpPr>
        <xdr:cNvPr id="2" name="Straight Arrow Connector 1">
          <a:extLst>
            <a:ext uri="{FF2B5EF4-FFF2-40B4-BE49-F238E27FC236}">
              <a16:creationId xmlns:a16="http://schemas.microsoft.com/office/drawing/2014/main" id="{C6A6D926-D4A1-4866-B2FB-0450349BD172}"/>
            </a:ext>
          </a:extLst>
        </xdr:cNvPr>
        <xdr:cNvCxnSpPr/>
      </xdr:nvCxnSpPr>
      <xdr:spPr>
        <a:xfrm>
          <a:off x="6597559" y="554599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793535</xdr:colOff>
      <xdr:row>24</xdr:row>
      <xdr:rowOff>116102</xdr:rowOff>
    </xdr:from>
    <xdr:to>
      <xdr:col>9</xdr:col>
      <xdr:colOff>762408</xdr:colOff>
      <xdr:row>24</xdr:row>
      <xdr:rowOff>125457</xdr:rowOff>
    </xdr:to>
    <xdr:cxnSp macro="">
      <xdr:nvCxnSpPr>
        <xdr:cNvPr id="4" name="Straight Connector 3">
          <a:extLst>
            <a:ext uri="{FF2B5EF4-FFF2-40B4-BE49-F238E27FC236}">
              <a16:creationId xmlns:a16="http://schemas.microsoft.com/office/drawing/2014/main" id="{257F982F-248D-4692-B745-C7F4CA8ADA87}"/>
            </a:ext>
          </a:extLst>
        </xdr:cNvPr>
        <xdr:cNvCxnSpPr/>
      </xdr:nvCxnSpPr>
      <xdr:spPr>
        <a:xfrm>
          <a:off x="6594260" y="7164602"/>
          <a:ext cx="5407648"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24</xdr:row>
      <xdr:rowOff>2060</xdr:rowOff>
    </xdr:from>
    <xdr:to>
      <xdr:col>9</xdr:col>
      <xdr:colOff>753764</xdr:colOff>
      <xdr:row>24</xdr:row>
      <xdr:rowOff>137985</xdr:rowOff>
    </xdr:to>
    <xdr:cxnSp macro="">
      <xdr:nvCxnSpPr>
        <xdr:cNvPr id="5" name="Straight Connector 4">
          <a:extLst>
            <a:ext uri="{FF2B5EF4-FFF2-40B4-BE49-F238E27FC236}">
              <a16:creationId xmlns:a16="http://schemas.microsoft.com/office/drawing/2014/main" id="{89D344C0-58CB-4C74-9EFD-4FA28546186C}"/>
            </a:ext>
          </a:extLst>
        </xdr:cNvPr>
        <xdr:cNvCxnSpPr/>
      </xdr:nvCxnSpPr>
      <xdr:spPr>
        <a:xfrm flipH="1" flipV="1">
          <a:off x="11107437" y="542178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25</xdr:row>
      <xdr:rowOff>265706</xdr:rowOff>
    </xdr:from>
    <xdr:to>
      <xdr:col>9</xdr:col>
      <xdr:colOff>730727</xdr:colOff>
      <xdr:row>26</xdr:row>
      <xdr:rowOff>123677</xdr:rowOff>
    </xdr:to>
    <xdr:cxnSp macro="">
      <xdr:nvCxnSpPr>
        <xdr:cNvPr id="7" name="Straight Connector 6">
          <a:extLst>
            <a:ext uri="{FF2B5EF4-FFF2-40B4-BE49-F238E27FC236}">
              <a16:creationId xmlns:a16="http://schemas.microsoft.com/office/drawing/2014/main" id="{00312ACC-5AE0-455C-A5EA-CB21D3B3B66E}"/>
            </a:ext>
          </a:extLst>
        </xdr:cNvPr>
        <xdr:cNvCxnSpPr/>
      </xdr:nvCxnSpPr>
      <xdr:spPr>
        <a:xfrm flipH="1" flipV="1">
          <a:off x="11084400" y="596165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26</xdr:row>
      <xdr:rowOff>112644</xdr:rowOff>
    </xdr:from>
    <xdr:to>
      <xdr:col>9</xdr:col>
      <xdr:colOff>737616</xdr:colOff>
      <xdr:row>26</xdr:row>
      <xdr:rowOff>121920</xdr:rowOff>
    </xdr:to>
    <xdr:cxnSp macro="">
      <xdr:nvCxnSpPr>
        <xdr:cNvPr id="8" name="Straight Connector 7">
          <a:extLst>
            <a:ext uri="{FF2B5EF4-FFF2-40B4-BE49-F238E27FC236}">
              <a16:creationId xmlns:a16="http://schemas.microsoft.com/office/drawing/2014/main" id="{383922BE-9D3F-4CA2-BB21-F4F473A57B76}"/>
            </a:ext>
          </a:extLst>
        </xdr:cNvPr>
        <xdr:cNvCxnSpPr/>
      </xdr:nvCxnSpPr>
      <xdr:spPr>
        <a:xfrm>
          <a:off x="6536222" y="608481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26</xdr:row>
      <xdr:rowOff>112644</xdr:rowOff>
    </xdr:from>
    <xdr:to>
      <xdr:col>4</xdr:col>
      <xdr:colOff>747866</xdr:colOff>
      <xdr:row>26</xdr:row>
      <xdr:rowOff>259502</xdr:rowOff>
    </xdr:to>
    <xdr:cxnSp macro="">
      <xdr:nvCxnSpPr>
        <xdr:cNvPr id="9" name="Straight Arrow Connector 8">
          <a:extLst>
            <a:ext uri="{FF2B5EF4-FFF2-40B4-BE49-F238E27FC236}">
              <a16:creationId xmlns:a16="http://schemas.microsoft.com/office/drawing/2014/main" id="{3003602D-EE77-4F3A-B2CE-CFFD103CD100}"/>
            </a:ext>
          </a:extLst>
        </xdr:cNvPr>
        <xdr:cNvCxnSpPr/>
      </xdr:nvCxnSpPr>
      <xdr:spPr>
        <a:xfrm>
          <a:off x="6548414" y="6084819"/>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30</xdr:row>
      <xdr:rowOff>126274</xdr:rowOff>
    </xdr:from>
    <xdr:to>
      <xdr:col>4</xdr:col>
      <xdr:colOff>797011</xdr:colOff>
      <xdr:row>30</xdr:row>
      <xdr:rowOff>269789</xdr:rowOff>
    </xdr:to>
    <xdr:cxnSp macro="">
      <xdr:nvCxnSpPr>
        <xdr:cNvPr id="12" name="Straight Arrow Connector 11">
          <a:extLst>
            <a:ext uri="{FF2B5EF4-FFF2-40B4-BE49-F238E27FC236}">
              <a16:creationId xmlns:a16="http://schemas.microsoft.com/office/drawing/2014/main" id="{4E3C4C7D-408D-45B8-9F6E-22C5B2D0D16A}"/>
            </a:ext>
          </a:extLst>
        </xdr:cNvPr>
        <xdr:cNvCxnSpPr/>
      </xdr:nvCxnSpPr>
      <xdr:spPr>
        <a:xfrm>
          <a:off x="6597559" y="7174774"/>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30</xdr:row>
      <xdr:rowOff>125627</xdr:rowOff>
    </xdr:from>
    <xdr:to>
      <xdr:col>9</xdr:col>
      <xdr:colOff>757646</xdr:colOff>
      <xdr:row>30</xdr:row>
      <xdr:rowOff>134982</xdr:rowOff>
    </xdr:to>
    <xdr:cxnSp macro="">
      <xdr:nvCxnSpPr>
        <xdr:cNvPr id="15" name="Straight Connector 14">
          <a:extLst>
            <a:ext uri="{FF2B5EF4-FFF2-40B4-BE49-F238E27FC236}">
              <a16:creationId xmlns:a16="http://schemas.microsoft.com/office/drawing/2014/main" id="{6CE191FD-78DA-46EB-AF6A-B64451E52119}"/>
            </a:ext>
          </a:extLst>
        </xdr:cNvPr>
        <xdr:cNvCxnSpPr/>
      </xdr:nvCxnSpPr>
      <xdr:spPr>
        <a:xfrm>
          <a:off x="6589498" y="7174127"/>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30</xdr:row>
      <xdr:rowOff>2060</xdr:rowOff>
    </xdr:from>
    <xdr:to>
      <xdr:col>9</xdr:col>
      <xdr:colOff>753764</xdr:colOff>
      <xdr:row>30</xdr:row>
      <xdr:rowOff>137985</xdr:rowOff>
    </xdr:to>
    <xdr:cxnSp macro="">
      <xdr:nvCxnSpPr>
        <xdr:cNvPr id="16" name="Straight Connector 15">
          <a:extLst>
            <a:ext uri="{FF2B5EF4-FFF2-40B4-BE49-F238E27FC236}">
              <a16:creationId xmlns:a16="http://schemas.microsoft.com/office/drawing/2014/main" id="{5545312D-68B7-46EB-ACCF-33DFD938A5AC}"/>
            </a:ext>
          </a:extLst>
        </xdr:cNvPr>
        <xdr:cNvCxnSpPr/>
      </xdr:nvCxnSpPr>
      <xdr:spPr>
        <a:xfrm flipH="1" flipV="1">
          <a:off x="11107437" y="7050560"/>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31</xdr:row>
      <xdr:rowOff>265706</xdr:rowOff>
    </xdr:from>
    <xdr:to>
      <xdr:col>9</xdr:col>
      <xdr:colOff>730727</xdr:colOff>
      <xdr:row>32</xdr:row>
      <xdr:rowOff>123677</xdr:rowOff>
    </xdr:to>
    <xdr:cxnSp macro="">
      <xdr:nvCxnSpPr>
        <xdr:cNvPr id="17" name="Straight Connector 16">
          <a:extLst>
            <a:ext uri="{FF2B5EF4-FFF2-40B4-BE49-F238E27FC236}">
              <a16:creationId xmlns:a16="http://schemas.microsoft.com/office/drawing/2014/main" id="{4A4EE830-2CEC-4BCC-B26D-B9D1BCCC5954}"/>
            </a:ext>
          </a:extLst>
        </xdr:cNvPr>
        <xdr:cNvCxnSpPr/>
      </xdr:nvCxnSpPr>
      <xdr:spPr>
        <a:xfrm flipH="1" flipV="1">
          <a:off x="11084400" y="7590431"/>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32</xdr:row>
      <xdr:rowOff>112644</xdr:rowOff>
    </xdr:from>
    <xdr:to>
      <xdr:col>9</xdr:col>
      <xdr:colOff>737616</xdr:colOff>
      <xdr:row>32</xdr:row>
      <xdr:rowOff>121920</xdr:rowOff>
    </xdr:to>
    <xdr:cxnSp macro="">
      <xdr:nvCxnSpPr>
        <xdr:cNvPr id="29" name="Straight Connector 28">
          <a:extLst>
            <a:ext uri="{FF2B5EF4-FFF2-40B4-BE49-F238E27FC236}">
              <a16:creationId xmlns:a16="http://schemas.microsoft.com/office/drawing/2014/main" id="{3A6EAD21-5832-41F4-9DAC-BBC2A6A0C9BD}"/>
            </a:ext>
          </a:extLst>
        </xdr:cNvPr>
        <xdr:cNvCxnSpPr/>
      </xdr:nvCxnSpPr>
      <xdr:spPr>
        <a:xfrm>
          <a:off x="6536222" y="7713594"/>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32</xdr:row>
      <xdr:rowOff>112644</xdr:rowOff>
    </xdr:from>
    <xdr:to>
      <xdr:col>4</xdr:col>
      <xdr:colOff>747866</xdr:colOff>
      <xdr:row>32</xdr:row>
      <xdr:rowOff>259502</xdr:rowOff>
    </xdr:to>
    <xdr:cxnSp macro="">
      <xdr:nvCxnSpPr>
        <xdr:cNvPr id="31" name="Straight Arrow Connector 30">
          <a:extLst>
            <a:ext uri="{FF2B5EF4-FFF2-40B4-BE49-F238E27FC236}">
              <a16:creationId xmlns:a16="http://schemas.microsoft.com/office/drawing/2014/main" id="{FEF832E8-F22D-4469-90F0-EDDA0A74397A}"/>
            </a:ext>
          </a:extLst>
        </xdr:cNvPr>
        <xdr:cNvCxnSpPr/>
      </xdr:nvCxnSpPr>
      <xdr:spPr>
        <a:xfrm>
          <a:off x="6548414" y="7713594"/>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48</xdr:row>
      <xdr:rowOff>126274</xdr:rowOff>
    </xdr:from>
    <xdr:to>
      <xdr:col>4</xdr:col>
      <xdr:colOff>797011</xdr:colOff>
      <xdr:row>48</xdr:row>
      <xdr:rowOff>269789</xdr:rowOff>
    </xdr:to>
    <xdr:cxnSp macro="">
      <xdr:nvCxnSpPr>
        <xdr:cNvPr id="32" name="Straight Arrow Connector 31">
          <a:extLst>
            <a:ext uri="{FF2B5EF4-FFF2-40B4-BE49-F238E27FC236}">
              <a16:creationId xmlns:a16="http://schemas.microsoft.com/office/drawing/2014/main" id="{B4BC6D9F-2ED8-4512-80F7-3C3C1D767A66}"/>
            </a:ext>
          </a:extLst>
        </xdr:cNvPr>
        <xdr:cNvCxnSpPr/>
      </xdr:nvCxnSpPr>
      <xdr:spPr>
        <a:xfrm>
          <a:off x="6597559" y="554599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48</xdr:row>
      <xdr:rowOff>125627</xdr:rowOff>
    </xdr:from>
    <xdr:to>
      <xdr:col>9</xdr:col>
      <xdr:colOff>757646</xdr:colOff>
      <xdr:row>48</xdr:row>
      <xdr:rowOff>134982</xdr:rowOff>
    </xdr:to>
    <xdr:cxnSp macro="">
      <xdr:nvCxnSpPr>
        <xdr:cNvPr id="33" name="Straight Connector 32">
          <a:extLst>
            <a:ext uri="{FF2B5EF4-FFF2-40B4-BE49-F238E27FC236}">
              <a16:creationId xmlns:a16="http://schemas.microsoft.com/office/drawing/2014/main" id="{EC371C45-FB15-4799-8E9D-C80933142C59}"/>
            </a:ext>
          </a:extLst>
        </xdr:cNvPr>
        <xdr:cNvCxnSpPr/>
      </xdr:nvCxnSpPr>
      <xdr:spPr>
        <a:xfrm>
          <a:off x="6589498" y="5545352"/>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48</xdr:row>
      <xdr:rowOff>2060</xdr:rowOff>
    </xdr:from>
    <xdr:to>
      <xdr:col>9</xdr:col>
      <xdr:colOff>753764</xdr:colOff>
      <xdr:row>48</xdr:row>
      <xdr:rowOff>137985</xdr:rowOff>
    </xdr:to>
    <xdr:cxnSp macro="">
      <xdr:nvCxnSpPr>
        <xdr:cNvPr id="34" name="Straight Connector 33">
          <a:extLst>
            <a:ext uri="{FF2B5EF4-FFF2-40B4-BE49-F238E27FC236}">
              <a16:creationId xmlns:a16="http://schemas.microsoft.com/office/drawing/2014/main" id="{A2099712-54BB-4659-8919-681AF1CA0B0B}"/>
            </a:ext>
          </a:extLst>
        </xdr:cNvPr>
        <xdr:cNvCxnSpPr/>
      </xdr:nvCxnSpPr>
      <xdr:spPr>
        <a:xfrm flipH="1" flipV="1">
          <a:off x="11107437" y="542178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49</xdr:row>
      <xdr:rowOff>265706</xdr:rowOff>
    </xdr:from>
    <xdr:to>
      <xdr:col>9</xdr:col>
      <xdr:colOff>730727</xdr:colOff>
      <xdr:row>50</xdr:row>
      <xdr:rowOff>123677</xdr:rowOff>
    </xdr:to>
    <xdr:cxnSp macro="">
      <xdr:nvCxnSpPr>
        <xdr:cNvPr id="35" name="Straight Connector 34">
          <a:extLst>
            <a:ext uri="{FF2B5EF4-FFF2-40B4-BE49-F238E27FC236}">
              <a16:creationId xmlns:a16="http://schemas.microsoft.com/office/drawing/2014/main" id="{CD48107F-DB03-4D5E-90B7-FAF50171F92B}"/>
            </a:ext>
          </a:extLst>
        </xdr:cNvPr>
        <xdr:cNvCxnSpPr/>
      </xdr:nvCxnSpPr>
      <xdr:spPr>
        <a:xfrm flipH="1" flipV="1">
          <a:off x="11084400" y="596165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50</xdr:row>
      <xdr:rowOff>112644</xdr:rowOff>
    </xdr:from>
    <xdr:to>
      <xdr:col>9</xdr:col>
      <xdr:colOff>737616</xdr:colOff>
      <xdr:row>50</xdr:row>
      <xdr:rowOff>121920</xdr:rowOff>
    </xdr:to>
    <xdr:cxnSp macro="">
      <xdr:nvCxnSpPr>
        <xdr:cNvPr id="36" name="Straight Connector 35">
          <a:extLst>
            <a:ext uri="{FF2B5EF4-FFF2-40B4-BE49-F238E27FC236}">
              <a16:creationId xmlns:a16="http://schemas.microsoft.com/office/drawing/2014/main" id="{FE949589-755A-429A-963E-EB33DBDC40DF}"/>
            </a:ext>
          </a:extLst>
        </xdr:cNvPr>
        <xdr:cNvCxnSpPr/>
      </xdr:nvCxnSpPr>
      <xdr:spPr>
        <a:xfrm>
          <a:off x="6536222" y="608481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50</xdr:row>
      <xdr:rowOff>112644</xdr:rowOff>
    </xdr:from>
    <xdr:to>
      <xdr:col>4</xdr:col>
      <xdr:colOff>747866</xdr:colOff>
      <xdr:row>50</xdr:row>
      <xdr:rowOff>259502</xdr:rowOff>
    </xdr:to>
    <xdr:cxnSp macro="">
      <xdr:nvCxnSpPr>
        <xdr:cNvPr id="37" name="Straight Arrow Connector 36">
          <a:extLst>
            <a:ext uri="{FF2B5EF4-FFF2-40B4-BE49-F238E27FC236}">
              <a16:creationId xmlns:a16="http://schemas.microsoft.com/office/drawing/2014/main" id="{7B38FB21-6A25-456A-90DD-9DDD2BA01F57}"/>
            </a:ext>
          </a:extLst>
        </xdr:cNvPr>
        <xdr:cNvCxnSpPr/>
      </xdr:nvCxnSpPr>
      <xdr:spPr>
        <a:xfrm>
          <a:off x="6548414" y="6084819"/>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54</xdr:row>
      <xdr:rowOff>126274</xdr:rowOff>
    </xdr:from>
    <xdr:to>
      <xdr:col>4</xdr:col>
      <xdr:colOff>797011</xdr:colOff>
      <xdr:row>54</xdr:row>
      <xdr:rowOff>269789</xdr:rowOff>
    </xdr:to>
    <xdr:cxnSp macro="">
      <xdr:nvCxnSpPr>
        <xdr:cNvPr id="44" name="Straight Arrow Connector 43">
          <a:extLst>
            <a:ext uri="{FF2B5EF4-FFF2-40B4-BE49-F238E27FC236}">
              <a16:creationId xmlns:a16="http://schemas.microsoft.com/office/drawing/2014/main" id="{A440612F-20A0-4ED5-B2D1-CAFEA07C30D4}"/>
            </a:ext>
          </a:extLst>
        </xdr:cNvPr>
        <xdr:cNvCxnSpPr/>
      </xdr:nvCxnSpPr>
      <xdr:spPr>
        <a:xfrm>
          <a:off x="6585917" y="13683524"/>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54</xdr:row>
      <xdr:rowOff>125627</xdr:rowOff>
    </xdr:from>
    <xdr:to>
      <xdr:col>9</xdr:col>
      <xdr:colOff>757646</xdr:colOff>
      <xdr:row>54</xdr:row>
      <xdr:rowOff>134982</xdr:rowOff>
    </xdr:to>
    <xdr:cxnSp macro="">
      <xdr:nvCxnSpPr>
        <xdr:cNvPr id="45" name="Straight Connector 44">
          <a:extLst>
            <a:ext uri="{FF2B5EF4-FFF2-40B4-BE49-F238E27FC236}">
              <a16:creationId xmlns:a16="http://schemas.microsoft.com/office/drawing/2014/main" id="{B92C3A5F-C8C5-446C-90FB-26A6B19D59C2}"/>
            </a:ext>
          </a:extLst>
        </xdr:cNvPr>
        <xdr:cNvCxnSpPr/>
      </xdr:nvCxnSpPr>
      <xdr:spPr>
        <a:xfrm>
          <a:off x="6577856" y="13682877"/>
          <a:ext cx="541929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54</xdr:row>
      <xdr:rowOff>2060</xdr:rowOff>
    </xdr:from>
    <xdr:to>
      <xdr:col>9</xdr:col>
      <xdr:colOff>753764</xdr:colOff>
      <xdr:row>54</xdr:row>
      <xdr:rowOff>137985</xdr:rowOff>
    </xdr:to>
    <xdr:cxnSp macro="">
      <xdr:nvCxnSpPr>
        <xdr:cNvPr id="46" name="Straight Connector 45">
          <a:extLst>
            <a:ext uri="{FF2B5EF4-FFF2-40B4-BE49-F238E27FC236}">
              <a16:creationId xmlns:a16="http://schemas.microsoft.com/office/drawing/2014/main" id="{226E8C26-ADFA-4BB0-9F51-34D7E879D0EF}"/>
            </a:ext>
          </a:extLst>
        </xdr:cNvPr>
        <xdr:cNvCxnSpPr/>
      </xdr:nvCxnSpPr>
      <xdr:spPr>
        <a:xfrm flipH="1" flipV="1">
          <a:off x="11993262" y="13559310"/>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55</xdr:row>
      <xdr:rowOff>265706</xdr:rowOff>
    </xdr:from>
    <xdr:to>
      <xdr:col>9</xdr:col>
      <xdr:colOff>730727</xdr:colOff>
      <xdr:row>56</xdr:row>
      <xdr:rowOff>123677</xdr:rowOff>
    </xdr:to>
    <xdr:cxnSp macro="">
      <xdr:nvCxnSpPr>
        <xdr:cNvPr id="47" name="Straight Connector 46">
          <a:extLst>
            <a:ext uri="{FF2B5EF4-FFF2-40B4-BE49-F238E27FC236}">
              <a16:creationId xmlns:a16="http://schemas.microsoft.com/office/drawing/2014/main" id="{D7159A6E-277F-4130-A5C7-D1C617117BDC}"/>
            </a:ext>
          </a:extLst>
        </xdr:cNvPr>
        <xdr:cNvCxnSpPr/>
      </xdr:nvCxnSpPr>
      <xdr:spPr>
        <a:xfrm flipH="1" flipV="1">
          <a:off x="11970225" y="14098123"/>
          <a:ext cx="2" cy="133137"/>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56</xdr:row>
      <xdr:rowOff>112644</xdr:rowOff>
    </xdr:from>
    <xdr:to>
      <xdr:col>9</xdr:col>
      <xdr:colOff>737616</xdr:colOff>
      <xdr:row>56</xdr:row>
      <xdr:rowOff>121920</xdr:rowOff>
    </xdr:to>
    <xdr:cxnSp macro="">
      <xdr:nvCxnSpPr>
        <xdr:cNvPr id="48" name="Straight Connector 47">
          <a:extLst>
            <a:ext uri="{FF2B5EF4-FFF2-40B4-BE49-F238E27FC236}">
              <a16:creationId xmlns:a16="http://schemas.microsoft.com/office/drawing/2014/main" id="{85BC80BA-1209-4E7A-A115-D4ECDE395DD7}"/>
            </a:ext>
          </a:extLst>
        </xdr:cNvPr>
        <xdr:cNvCxnSpPr/>
      </xdr:nvCxnSpPr>
      <xdr:spPr>
        <a:xfrm>
          <a:off x="6524580" y="14220227"/>
          <a:ext cx="5452536"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56</xdr:row>
      <xdr:rowOff>112644</xdr:rowOff>
    </xdr:from>
    <xdr:to>
      <xdr:col>4</xdr:col>
      <xdr:colOff>747866</xdr:colOff>
      <xdr:row>56</xdr:row>
      <xdr:rowOff>259502</xdr:rowOff>
    </xdr:to>
    <xdr:cxnSp macro="">
      <xdr:nvCxnSpPr>
        <xdr:cNvPr id="49" name="Straight Arrow Connector 48">
          <a:extLst>
            <a:ext uri="{FF2B5EF4-FFF2-40B4-BE49-F238E27FC236}">
              <a16:creationId xmlns:a16="http://schemas.microsoft.com/office/drawing/2014/main" id="{1EDE845F-7753-41F6-BBF9-E65DB5A4585E}"/>
            </a:ext>
          </a:extLst>
        </xdr:cNvPr>
        <xdr:cNvCxnSpPr/>
      </xdr:nvCxnSpPr>
      <xdr:spPr>
        <a:xfrm>
          <a:off x="6536772" y="14220227"/>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21</xdr:row>
      <xdr:rowOff>0</xdr:rowOff>
    </xdr:from>
    <xdr:to>
      <xdr:col>4</xdr:col>
      <xdr:colOff>495935</xdr:colOff>
      <xdr:row>28</xdr:row>
      <xdr:rowOff>106892</xdr:rowOff>
    </xdr:to>
    <xdr:sp macro="" textlink="">
      <xdr:nvSpPr>
        <xdr:cNvPr id="2" name="Flowchart: Alternate Proces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0525" y="5524500"/>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973627</xdr:colOff>
      <xdr:row>1</xdr:row>
      <xdr:rowOff>227041</xdr:rowOff>
    </xdr:from>
    <xdr:to>
      <xdr:col>39</xdr:col>
      <xdr:colOff>121227</xdr:colOff>
      <xdr:row>3</xdr:row>
      <xdr:rowOff>381000</xdr:rowOff>
    </xdr:to>
    <xdr:sp macro="" textlink="">
      <xdr:nvSpPr>
        <xdr:cNvPr id="3" name="TextBox 2">
          <a:extLst>
            <a:ext uri="{FF2B5EF4-FFF2-40B4-BE49-F238E27FC236}">
              <a16:creationId xmlns:a16="http://schemas.microsoft.com/office/drawing/2014/main" id="{B6C079B1-59DD-42A4-8F25-2E8DC107C2F9}"/>
            </a:ext>
          </a:extLst>
        </xdr:cNvPr>
        <xdr:cNvSpPr txBox="1"/>
      </xdr:nvSpPr>
      <xdr:spPr>
        <a:xfrm>
          <a:off x="41673952" y="388966"/>
          <a:ext cx="26150975" cy="19351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4400"/>
        </a:p>
        <a:p>
          <a:r>
            <a:rPr lang="en-US" sz="4400"/>
            <a:t>EACH</a:t>
          </a:r>
          <a:r>
            <a:rPr lang="en-US" sz="4400" baseline="0"/>
            <a:t> UPDATE, COPY THIS SUMMARY TO A UNIQUE NAME (Summary Archived 4/1/2020) and PASTE VALUES</a:t>
          </a:r>
          <a:endParaRPr lang="en-US" sz="44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3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8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8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8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8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8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8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8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8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8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8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8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8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8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180975</xdr:colOff>
      <xdr:row>6</xdr:row>
      <xdr:rowOff>163831</xdr:rowOff>
    </xdr:from>
    <xdr:to>
      <xdr:col>8</xdr:col>
      <xdr:colOff>30480</xdr:colOff>
      <xdr:row>11</xdr:row>
      <xdr:rowOff>26671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9315450" y="1554481"/>
          <a:ext cx="1621155" cy="81534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31</xdr:row>
      <xdr:rowOff>57150</xdr:rowOff>
    </xdr:from>
    <xdr:to>
      <xdr:col>11</xdr:col>
      <xdr:colOff>695325</xdr:colOff>
      <xdr:row>36</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twoCellAnchor>
    <xdr:from>
      <xdr:col>6</xdr:col>
      <xdr:colOff>245745</xdr:colOff>
      <xdr:row>15</xdr:row>
      <xdr:rowOff>19050</xdr:rowOff>
    </xdr:from>
    <xdr:to>
      <xdr:col>8</xdr:col>
      <xdr:colOff>104775</xdr:colOff>
      <xdr:row>21</xdr:row>
      <xdr:rowOff>139065</xdr:rowOff>
    </xdr:to>
    <xdr:sp macro="" textlink="">
      <xdr:nvSpPr>
        <xdr:cNvPr id="4" name="Rounded Rectangular Callout 1">
          <a:extLst>
            <a:ext uri="{FF2B5EF4-FFF2-40B4-BE49-F238E27FC236}">
              <a16:creationId xmlns:a16="http://schemas.microsoft.com/office/drawing/2014/main" id="{00000000-0008-0000-0200-000004000000}"/>
            </a:ext>
          </a:extLst>
        </xdr:cNvPr>
        <xdr:cNvSpPr/>
      </xdr:nvSpPr>
      <xdr:spPr>
        <a:xfrm>
          <a:off x="9380220" y="3124200"/>
          <a:ext cx="1630680" cy="126301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drop-down</a:t>
          </a:r>
          <a:r>
            <a:rPr lang="en-US" sz="1100" b="1" baseline="0">
              <a:solidFill>
                <a:schemeClr val="accent2"/>
              </a:solidFill>
            </a:rPr>
            <a:t> to e</a:t>
          </a:r>
          <a:r>
            <a:rPr lang="en-US" sz="1100" b="1">
              <a:solidFill>
                <a:schemeClr val="accent2"/>
              </a:solidFill>
            </a:rPr>
            <a:t>nter Yes/ No for applicability of Prevailing</a:t>
          </a:r>
          <a:r>
            <a:rPr lang="en-US" sz="1100" b="1" baseline="0">
              <a:solidFill>
                <a:schemeClr val="accent2"/>
              </a:solidFill>
            </a:rPr>
            <a:t> Wages Allowance for the project.</a:t>
          </a:r>
        </a:p>
        <a:p>
          <a:pPr algn="l"/>
          <a:endParaRPr lang="en-US" sz="1100" b="1" baseline="0">
            <a:solidFill>
              <a:schemeClr val="accent2"/>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35</xdr:col>
      <xdr:colOff>47625</xdr:colOff>
      <xdr:row>40</xdr:row>
      <xdr:rowOff>0</xdr:rowOff>
    </xdr:from>
    <xdr:to>
      <xdr:col>52</xdr:col>
      <xdr:colOff>170181</xdr:colOff>
      <xdr:row>47</xdr:row>
      <xdr:rowOff>6888</xdr:rowOff>
    </xdr:to>
    <xdr:pic>
      <xdr:nvPicPr>
        <xdr:cNvPr id="5" name="Picture 4">
          <a:extLst>
            <a:ext uri="{FF2B5EF4-FFF2-40B4-BE49-F238E27FC236}">
              <a16:creationId xmlns:a16="http://schemas.microsoft.com/office/drawing/2014/main" id="{3E59582B-583A-49E9-AC29-77DA3F8EA1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79975" y="102574725"/>
          <a:ext cx="10809606" cy="308419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99907</xdr:colOff>
      <xdr:row>25</xdr:row>
      <xdr:rowOff>197908</xdr:rowOff>
    </xdr:from>
    <xdr:to>
      <xdr:col>7</xdr:col>
      <xdr:colOff>2081742</xdr:colOff>
      <xdr:row>31</xdr:row>
      <xdr:rowOff>66675</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358582" y="6751108"/>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371475</xdr:colOff>
      <xdr:row>2</xdr:row>
      <xdr:rowOff>123825</xdr:rowOff>
    </xdr:from>
    <xdr:to>
      <xdr:col>4</xdr:col>
      <xdr:colOff>2110740</xdr:colOff>
      <xdr:row>5</xdr:row>
      <xdr:rowOff>154305</xdr:rowOff>
    </xdr:to>
    <xdr:sp macro="" textlink="">
      <xdr:nvSpPr>
        <xdr:cNvPr id="7" name="Rounded Rectangular Callout 3">
          <a:extLst>
            <a:ext uri="{FF2B5EF4-FFF2-40B4-BE49-F238E27FC236}">
              <a16:creationId xmlns:a16="http://schemas.microsoft.com/office/drawing/2014/main" id="{00000000-0008-0000-0800-000007000000}"/>
            </a:ext>
          </a:extLst>
        </xdr:cNvPr>
        <xdr:cNvSpPr/>
      </xdr:nvSpPr>
      <xdr:spPr>
        <a:xfrm>
          <a:off x="6286500" y="581025"/>
          <a:ext cx="1739265" cy="716280"/>
        </a:xfrm>
        <a:prstGeom prst="wedgeRoundRectCallout">
          <a:avLst>
            <a:gd name="adj1" fmla="val -69213"/>
            <a:gd name="adj2" fmla="val 10356"/>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266700</xdr:colOff>
      <xdr:row>12</xdr:row>
      <xdr:rowOff>171450</xdr:rowOff>
    </xdr:from>
    <xdr:to>
      <xdr:col>9</xdr:col>
      <xdr:colOff>1543050</xdr:colOff>
      <xdr:row>14</xdr:row>
      <xdr:rowOff>13334</xdr:rowOff>
    </xdr:to>
    <xdr:sp macro="" textlink="">
      <xdr:nvSpPr>
        <xdr:cNvPr id="9" name="Rounded Rectangular Callout 3">
          <a:extLst>
            <a:ext uri="{FF2B5EF4-FFF2-40B4-BE49-F238E27FC236}">
              <a16:creationId xmlns:a16="http://schemas.microsoft.com/office/drawing/2014/main" id="{00000000-0008-0000-0800-000009000000}"/>
            </a:ext>
          </a:extLst>
        </xdr:cNvPr>
        <xdr:cNvSpPr/>
      </xdr:nvSpPr>
      <xdr:spPr>
        <a:xfrm>
          <a:off x="15201900" y="356235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304800</xdr:colOff>
      <xdr:row>21</xdr:row>
      <xdr:rowOff>209550</xdr:rowOff>
    </xdr:from>
    <xdr:to>
      <xdr:col>10</xdr:col>
      <xdr:colOff>139911</xdr:colOff>
      <xdr:row>25</xdr:row>
      <xdr:rowOff>9946</xdr:rowOff>
    </xdr:to>
    <xdr:sp macro="" textlink="">
      <xdr:nvSpPr>
        <xdr:cNvPr id="10" name="Rounded Rectangular Callout 3">
          <a:extLst>
            <a:ext uri="{FF2B5EF4-FFF2-40B4-BE49-F238E27FC236}">
              <a16:creationId xmlns:a16="http://schemas.microsoft.com/office/drawing/2014/main" id="{00000000-0008-0000-0800-00000A000000}"/>
            </a:ext>
          </a:extLst>
        </xdr:cNvPr>
        <xdr:cNvSpPr/>
      </xdr:nvSpPr>
      <xdr:spPr>
        <a:xfrm>
          <a:off x="15240000" y="5848350"/>
          <a:ext cx="1387686"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276225</xdr:colOff>
      <xdr:row>18</xdr:row>
      <xdr:rowOff>85725</xdr:rowOff>
    </xdr:from>
    <xdr:to>
      <xdr:col>10</xdr:col>
      <xdr:colOff>122766</xdr:colOff>
      <xdr:row>21</xdr:row>
      <xdr:rowOff>103291</xdr:rowOff>
    </xdr:to>
    <xdr:sp macro="" textlink="">
      <xdr:nvSpPr>
        <xdr:cNvPr id="2" name="Rounded Rectangular Callout 3">
          <a:extLst>
            <a:ext uri="{FF2B5EF4-FFF2-40B4-BE49-F238E27FC236}">
              <a16:creationId xmlns:a16="http://schemas.microsoft.com/office/drawing/2014/main" id="{00000000-0008-0000-0800-000002000000}"/>
            </a:ext>
          </a:extLst>
        </xdr:cNvPr>
        <xdr:cNvSpPr/>
      </xdr:nvSpPr>
      <xdr:spPr>
        <a:xfrm>
          <a:off x="15211425" y="4581525"/>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twoCellAnchor>
    <xdr:from>
      <xdr:col>4</xdr:col>
      <xdr:colOff>228600</xdr:colOff>
      <xdr:row>7</xdr:row>
      <xdr:rowOff>38099</xdr:rowOff>
    </xdr:from>
    <xdr:to>
      <xdr:col>4</xdr:col>
      <xdr:colOff>1967865</xdr:colOff>
      <xdr:row>9</xdr:row>
      <xdr:rowOff>59054</xdr:rowOff>
    </xdr:to>
    <xdr:sp macro="" textlink="">
      <xdr:nvSpPr>
        <xdr:cNvPr id="3" name="Rounded Rectangular Callout 3">
          <a:extLst>
            <a:ext uri="{FF2B5EF4-FFF2-40B4-BE49-F238E27FC236}">
              <a16:creationId xmlns:a16="http://schemas.microsoft.com/office/drawing/2014/main" id="{B1C6DAED-E1F4-4482-8667-FB1A9CF11FA4}"/>
            </a:ext>
          </a:extLst>
        </xdr:cNvPr>
        <xdr:cNvSpPr/>
      </xdr:nvSpPr>
      <xdr:spPr>
        <a:xfrm>
          <a:off x="6143625" y="1638299"/>
          <a:ext cx="1739265" cy="478155"/>
        </a:xfrm>
        <a:prstGeom prst="wedgeRoundRectCallout">
          <a:avLst>
            <a:gd name="adj1" fmla="val -62094"/>
            <a:gd name="adj2" fmla="val 14345"/>
            <a:gd name="adj3" fmla="val 16667"/>
          </a:avLst>
        </a:prstGeom>
        <a:ln>
          <a:solidFill>
            <a:schemeClr val="accent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4">
                  <a:lumMod val="50000"/>
                </a:schemeClr>
              </a:solidFill>
              <a:effectLst/>
            </a:rPr>
            <a:t>Please</a:t>
          </a:r>
          <a:r>
            <a:rPr lang="en-US" baseline="0">
              <a:solidFill>
                <a:schemeClr val="accent4">
                  <a:lumMod val="50000"/>
                </a:schemeClr>
              </a:solidFill>
              <a:effectLst/>
            </a:rPr>
            <a:t> fill up HCI value</a:t>
          </a:r>
          <a:endParaRPr lang="en-US">
            <a:solidFill>
              <a:schemeClr val="accent4">
                <a:lumMod val="50000"/>
              </a:schemeClr>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586951</xdr:colOff>
      <xdr:row>52</xdr:row>
      <xdr:rowOff>138006</xdr:rowOff>
    </xdr:from>
    <xdr:to>
      <xdr:col>15</xdr:col>
      <xdr:colOff>486832</xdr:colOff>
      <xdr:row>69</xdr:row>
      <xdr:rowOff>6350</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561975</xdr:colOff>
          <xdr:row>3</xdr:row>
          <xdr:rowOff>133350</xdr:rowOff>
        </xdr:from>
        <xdr:to>
          <xdr:col>9</xdr:col>
          <xdr:colOff>552450</xdr:colOff>
          <xdr:row>36</xdr:row>
          <xdr:rowOff>209550</xdr:rowOff>
        </xdr:to>
        <xdr:sp macro="" textlink="">
          <xdr:nvSpPr>
            <xdr:cNvPr id="192514" name="Object 2" hidden="1">
              <a:extLst>
                <a:ext uri="{63B3BB69-23CF-44E3-9099-C40C66FF867C}">
                  <a14:compatExt spid="_x0000_s192514"/>
                </a:ext>
                <a:ext uri="{FF2B5EF4-FFF2-40B4-BE49-F238E27FC236}">
                  <a16:creationId xmlns:a16="http://schemas.microsoft.com/office/drawing/2014/main" id="{00000000-0008-0000-0900-000002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396264</xdr:colOff>
      <xdr:row>1</xdr:row>
      <xdr:rowOff>57148</xdr:rowOff>
    </xdr:from>
    <xdr:to>
      <xdr:col>18</xdr:col>
      <xdr:colOff>608111</xdr:colOff>
      <xdr:row>30</xdr:row>
      <xdr:rowOff>68580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2264" y="219073"/>
          <a:ext cx="7888997" cy="4730117"/>
        </a:xfrm>
        <a:prstGeom prst="rect">
          <a:avLst/>
        </a:prstGeom>
      </xdr:spPr>
    </xdr:pic>
    <xdr:clientData/>
  </xdr:twoCellAnchor>
  <xdr:twoCellAnchor>
    <xdr:from>
      <xdr:col>21</xdr:col>
      <xdr:colOff>986818</xdr:colOff>
      <xdr:row>33</xdr:row>
      <xdr:rowOff>59585</xdr:rowOff>
    </xdr:from>
    <xdr:to>
      <xdr:col>29</xdr:col>
      <xdr:colOff>97486</xdr:colOff>
      <xdr:row>52</xdr:row>
      <xdr:rowOff>393</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596810</xdr:colOff>
      <xdr:row>39</xdr:row>
      <xdr:rowOff>58510</xdr:rowOff>
    </xdr:from>
    <xdr:to>
      <xdr:col>9</xdr:col>
      <xdr:colOff>258535</xdr:colOff>
      <xdr:row>60</xdr:row>
      <xdr:rowOff>173083</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68158</xdr:colOff>
      <xdr:row>52</xdr:row>
      <xdr:rowOff>99059</xdr:rowOff>
    </xdr:from>
    <xdr:to>
      <xdr:col>21</xdr:col>
      <xdr:colOff>125943</xdr:colOff>
      <xdr:row>68</xdr:row>
      <xdr:rowOff>146261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B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oop Kaul" refreshedDate="45433.53986099537" createdVersion="8" refreshedVersion="8" minRefreshableVersion="3" recordCount="59" xr:uid="{3A509BD5-EC0B-43DB-B824-14414EBB88F3}">
  <cacheSource type="worksheet">
    <worksheetSource ref="B7:N66" sheet="VBCCD Table"/>
  </cacheSource>
  <cacheFields count="13">
    <cacheField name="Sheet Position in VBBCCD" numFmtId="0">
      <sharedItems containsSemiMixedTypes="0" containsString="0" containsNumber="1" containsInteger="1" minValue="9" maxValue="102"/>
    </cacheField>
    <cacheField name="Building Category" numFmtId="0">
      <sharedItems count="21">
        <s v="CLASSROOM BUILDINGS"/>
        <s v="COURTS"/>
        <s v="DORMITORY"/>
        <s v="DRY LABS Physics Buildings, Engineering Buildings"/>
        <s v="FOOD "/>
        <s v="GYM-PHYS-ED BUILDINGS"/>
        <s v="LIBRARIES"/>
        <s v="MEDICAL"/>
        <s v="MULTIPURPOSE BUILDINGS"/>
        <s v="MUSEUMS"/>
        <s v="OFFICE BUILDINGS"/>
        <s v="Other"/>
        <s v="PARKING"/>
        <s v="PARKING STRUCTURE"/>
        <s v="RESEARCH LABS"/>
        <s v="ROOFING"/>
        <s v="STUDENT CENTERS"/>
        <s v="THEATERS"/>
        <s v="UNIVERSITY WELCOME CENTERS"/>
        <s v="WET LABS Chemistry Buildings, Biology Buildings"/>
        <s v="N/A VBCCD BldgTypes Table" u="1"/>
      </sharedItems>
    </cacheField>
    <cacheField name="VBCCD Tabs Name" numFmtId="0">
      <sharedItems/>
    </cacheField>
    <cacheField name="SUMMARY Sheet Name" numFmtId="0">
      <sharedItems/>
    </cacheField>
    <cacheField name="# of Comps" numFmtId="0">
      <sharedItems containsSemiMixedTypes="0" containsString="0" containsNumber="1" containsInteger="1" minValue="1" maxValue="32"/>
    </cacheField>
    <cacheField name="Update Done" numFmtId="0">
      <sharedItems/>
    </cacheField>
    <cacheField name="To be added to Summary" numFmtId="44">
      <sharedItems/>
    </cacheField>
    <cacheField name="Cost Modifier " numFmtId="174">
      <sharedItems/>
    </cacheField>
    <cacheField name="Quantity Unit" numFmtId="44">
      <sharedItems/>
    </cacheField>
    <cacheField name="Quantity Range" numFmtId="174">
      <sharedItems/>
    </cacheField>
    <cacheField name="Median Quantity" numFmtId="174">
      <sharedItems containsSemiMixedTypes="0" containsString="0" containsNumber="1" minValue="199" maxValue="327253.5"/>
    </cacheField>
    <cacheField name="Median Cost/Sq.ft." numFmtId="44">
      <sharedItems containsSemiMixedTypes="0" containsString="0" containsNumber="1" minValue="10.776954482030252" maxValue="3342.1665026161736"/>
    </cacheField>
    <cacheField name="Match"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n v="20"/>
    <x v="0"/>
    <s v="New CR "/>
    <s v="New Classroom Buildings"/>
    <n v="20"/>
    <s v="Yes"/>
    <s v="Yes"/>
    <s v="Yes"/>
    <s v="Sq. Ft."/>
    <s v="21,686-280,617"/>
    <n v="85410"/>
    <n v="392.80051567241088"/>
    <m/>
  </r>
  <r>
    <n v="21"/>
    <x v="0"/>
    <s v="Ren CR - L"/>
    <s v="Renovate Classroom Buildings - L"/>
    <n v="8"/>
    <s v="Yes"/>
    <s v="Yes"/>
    <s v="Yes"/>
    <s v="Sq. Ft."/>
    <s v="1,670-54,666"/>
    <n v="7140"/>
    <n v="34.92645332112437"/>
    <m/>
  </r>
  <r>
    <n v="22"/>
    <x v="0"/>
    <s v="Ren CR - M"/>
    <s v="Renovate Classroom Buildings - M"/>
    <n v="7"/>
    <s v="Yes"/>
    <s v="Yes"/>
    <s v="Yes"/>
    <s v="Sq. Ft."/>
    <s v="7,804-64,750"/>
    <n v="26620"/>
    <n v="255.39780102882671"/>
    <m/>
  </r>
  <r>
    <n v="23"/>
    <x v="0"/>
    <s v="Ren CR - H"/>
    <s v="Renovate Classroom Buildings - H"/>
    <n v="15"/>
    <s v="Yes"/>
    <s v="Yes"/>
    <s v="Yes"/>
    <s v="Sq. Ft."/>
    <s v="13,786-210,903"/>
    <n v="43436"/>
    <n v="426.2927694296115"/>
    <m/>
  </r>
  <r>
    <n v="24"/>
    <x v="0"/>
    <s v="Ren CR - Historic"/>
    <s v="Renovate Classroom Buildings - Historic"/>
    <n v="10"/>
    <s v="Yes"/>
    <s v="Yes"/>
    <s v="Yes"/>
    <s v="Sq. Ft."/>
    <s v="13,717-159,129"/>
    <n v="29832"/>
    <n v="347.1350823985502"/>
    <m/>
  </r>
  <r>
    <n v="25"/>
    <x v="1"/>
    <s v="Ren Court"/>
    <s v="Ren Court"/>
    <n v="4"/>
    <s v="Yes"/>
    <s v="Yes"/>
    <s v="Yes"/>
    <s v="Sq. Ft."/>
    <s v="29,900-44,826"/>
    <n v="32700"/>
    <n v="226.56384740851547"/>
    <m/>
  </r>
  <r>
    <n v="26"/>
    <x v="2"/>
    <s v="New Dorm"/>
    <s v="New Dormitory"/>
    <n v="12"/>
    <s v="Yes"/>
    <s v="Yes"/>
    <s v="Yes"/>
    <s v="Sq. Ft."/>
    <s v="59,307-216,770"/>
    <n v="141750"/>
    <n v="328.26451540721769"/>
    <m/>
  </r>
  <r>
    <n v="26"/>
    <x v="2"/>
    <s v="Ren Dorm"/>
    <s v="Renovate Dormitory"/>
    <n v="4"/>
    <s v="Yes"/>
    <s v="Yes"/>
    <s v="Yes"/>
    <s v="Sq. Ft."/>
    <s v="46,500 - 106,500"/>
    <n v="57159.5"/>
    <n v="281.42413238612716"/>
    <m/>
  </r>
  <r>
    <n v="28"/>
    <x v="2"/>
    <s v="Ren Dorm - Historic"/>
    <s v="Renovate Dormitory - Historic"/>
    <n v="4"/>
    <s v="Yes"/>
    <s v="Yes"/>
    <s v="Yes"/>
    <s v="Sq. Ft."/>
    <s v="36,244-50,986"/>
    <n v="42540"/>
    <n v="386.38316676936819"/>
    <m/>
  </r>
  <r>
    <n v="34"/>
    <x v="3"/>
    <s v="New Dry Labs - L"/>
    <s v="New Dry Lab - L"/>
    <n v="4"/>
    <s v="Yes"/>
    <s v="Yes"/>
    <s v="Yes"/>
    <s v="Sq. Ft."/>
    <s v="50,501-161,100"/>
    <n v="64078"/>
    <n v="484.16989679944197"/>
    <m/>
  </r>
  <r>
    <n v="35"/>
    <x v="3"/>
    <s v="New Dry Labs - M"/>
    <s v="New Dry Lab - M"/>
    <n v="10"/>
    <s v="Yes"/>
    <s v="Yes"/>
    <s v="Yes"/>
    <s v="Sq. Ft."/>
    <s v="26,000-161,100"/>
    <n v="64834.5"/>
    <n v="490.95026177670957"/>
    <m/>
  </r>
  <r>
    <n v="36"/>
    <x v="3"/>
    <s v="New Dry Labs - H"/>
    <s v="New Dry Lab - H"/>
    <n v="4"/>
    <s v="Yes"/>
    <s v="Yes"/>
    <s v="Yes"/>
    <s v="Sq. Ft."/>
    <s v="50,501-200,000"/>
    <n v="156326.5"/>
    <n v="470.50113070619602"/>
    <m/>
  </r>
  <r>
    <n v="37"/>
    <x v="3"/>
    <s v="New Dry Lab - Automotive"/>
    <s v="New Dry Lab - Automotive"/>
    <n v="1"/>
    <s v="Yes"/>
    <s v="Yes"/>
    <s v="Yes"/>
    <s v="Sq. Ft."/>
    <s v="30,670-30,670"/>
    <n v="30670"/>
    <n v="386.04349323745907"/>
    <m/>
  </r>
  <r>
    <n v="38"/>
    <x v="3"/>
    <s v="Ren Dry Lab - L"/>
    <s v="Ren. Dry Lab - L"/>
    <n v="3"/>
    <s v="Yes"/>
    <s v="Yes"/>
    <s v="Yes"/>
    <s v="Sq. Ft."/>
    <s v="13,190-46,534"/>
    <n v="17450"/>
    <n v="135.79846731622061"/>
    <m/>
  </r>
  <r>
    <n v="39"/>
    <x v="3"/>
    <s v="Ren Dry Lab - M"/>
    <s v="Ren. Dry Lab - M"/>
    <n v="4"/>
    <s v="Yes"/>
    <s v="Yes"/>
    <s v="Yes"/>
    <s v="Sq. Ft."/>
    <s v="4,600-68,000"/>
    <n v="9281.5"/>
    <n v="359.27330791700552"/>
    <m/>
  </r>
  <r>
    <n v="40"/>
    <x v="3"/>
    <s v="Ren Dry Lab - H"/>
    <s v="Ren. Dry Lab - H"/>
    <n v="5"/>
    <s v="Yes"/>
    <s v="Yes"/>
    <s v="Yes"/>
    <s v="Sq. Ft."/>
    <s v="2,950-41,452"/>
    <n v="5373"/>
    <n v="426.54321550617919"/>
    <m/>
  </r>
  <r>
    <n v="29"/>
    <x v="4"/>
    <s v="New Dining Hall"/>
    <s v="New Dining Hall"/>
    <n v="5"/>
    <s v="Yes"/>
    <s v="Yes"/>
    <s v="Yes"/>
    <s v="Sq. Ft."/>
    <s v="7,550-115,985"/>
    <n v="38295"/>
    <n v="891.20466791648073"/>
    <m/>
  </r>
  <r>
    <n v="30"/>
    <x v="4"/>
    <s v="Ren Dining Hall"/>
    <s v="Renovate Dining Hall"/>
    <n v="11"/>
    <s v="Yes"/>
    <s v="Yes"/>
    <s v="Yes"/>
    <s v="Sq. Ft."/>
    <s v="1,002-42,313"/>
    <n v="12200"/>
    <n v="202.9440410338932"/>
    <m/>
  </r>
  <r>
    <n v="32"/>
    <x v="5"/>
    <s v="New Gym"/>
    <s v="New Gymnasium"/>
    <n v="7"/>
    <s v="Yes"/>
    <s v="Yes"/>
    <s v="Yes"/>
    <s v="Sq. Ft."/>
    <s v="16,912-110,000"/>
    <n v="52944"/>
    <n v="543.495886895171"/>
    <m/>
  </r>
  <r>
    <n v="33"/>
    <x v="5"/>
    <s v="Ren Gym"/>
    <s v="Renovate Gymnasium"/>
    <n v="3"/>
    <s v="Yes"/>
    <s v="Yes"/>
    <s v="Yes"/>
    <s v="Sq. Ft."/>
    <s v="16,353-94,486"/>
    <n v="30027"/>
    <n v="569.14931600381612"/>
    <m/>
  </r>
  <r>
    <n v="47"/>
    <x v="6"/>
    <s v="New Libraries"/>
    <s v="New Library"/>
    <n v="8"/>
    <s v="Yes"/>
    <s v="Yes"/>
    <s v="Yes"/>
    <s v="Sq. Ft."/>
    <s v="36,710-200,000"/>
    <n v="126026.5"/>
    <n v="423.73287718984579"/>
    <m/>
  </r>
  <r>
    <n v="48"/>
    <x v="6"/>
    <s v="Ren Libraries"/>
    <s v="Ren Library"/>
    <n v="3"/>
    <s v="Yes"/>
    <s v="Yes"/>
    <s v="Yes"/>
    <s v="Sq. Ft."/>
    <s v="1,202-15,531"/>
    <n v="11660"/>
    <n v="171.30974674852132"/>
    <m/>
  </r>
  <r>
    <n v="50"/>
    <x v="7"/>
    <s v="New Mental Health Facility"/>
    <s v="New Mental Health Facility"/>
    <n v="4"/>
    <s v="Yes"/>
    <s v="Yes"/>
    <s v="Yes"/>
    <s v="Sq. Ft."/>
    <s v="117,000-430,000"/>
    <n v="327253.5"/>
    <n v="652.28188699794873"/>
    <m/>
  </r>
  <r>
    <n v="53"/>
    <x v="7"/>
    <s v="Ren Medical"/>
    <s v="Ren Medical"/>
    <n v="8"/>
    <s v="Yes"/>
    <s v="Yes"/>
    <s v="Yes"/>
    <s v="Sq. Ft."/>
    <s v="7,594-94,039"/>
    <n v="14023.5"/>
    <n v="372.64182389053508"/>
    <m/>
  </r>
  <r>
    <n v="54"/>
    <x v="8"/>
    <s v="Multipurpose Center"/>
    <s v="New Multipurpose Center"/>
    <n v="7"/>
    <s v="Yes"/>
    <s v="Yes"/>
    <s v="Yes"/>
    <s v="Sq. Ft."/>
    <s v="11,766-167,874"/>
    <n v="52944"/>
    <n v="543.495886895171"/>
    <m/>
  </r>
  <r>
    <n v="55"/>
    <x v="8"/>
    <s v="Recreation Center"/>
    <s v="Recreation Center"/>
    <n v="14"/>
    <s v="Yes"/>
    <s v="Yes"/>
    <s v="Yes"/>
    <s v="Sq. Ft."/>
    <s v="1,639-142,843"/>
    <n v="35842.5"/>
    <n v="491.9570683393024"/>
    <m/>
  </r>
  <r>
    <n v="56"/>
    <x v="9"/>
    <s v="New Museums"/>
    <s v="New Museum"/>
    <n v="6"/>
    <s v="Yes"/>
    <s v="Yes"/>
    <s v="Yes"/>
    <s v="Sq. Ft."/>
    <s v="4,405-449,000"/>
    <n v="64084"/>
    <n v="422.52426409000805"/>
    <m/>
  </r>
  <r>
    <n v="57"/>
    <x v="9"/>
    <s v="Ren Museums"/>
    <s v="Ren. Museum"/>
    <n v="3"/>
    <s v="Yes"/>
    <s v="Yes"/>
    <s v="Yes"/>
    <s v="Sq. Ft."/>
    <s v="5,000-16,000"/>
    <n v="6100"/>
    <n v="232.20187204225172"/>
    <m/>
  </r>
  <r>
    <n v="58"/>
    <x v="9"/>
    <s v="Museums - Replica"/>
    <s v="Museum - Replicas"/>
    <n v="3"/>
    <s v="Yes"/>
    <s v="Yes"/>
    <s v="Yes"/>
    <s v="Sq. Ft."/>
    <s v="3,538-30,000"/>
    <n v="7330"/>
    <n v="101.57708188411918"/>
    <m/>
  </r>
  <r>
    <n v="9"/>
    <x v="10"/>
    <s v="Office Tenant Upfit - M"/>
    <s v="Office Tenant Upfit - M"/>
    <n v="5"/>
    <s v="Yes"/>
    <s v="Yes"/>
    <s v="Yes"/>
    <s v="Sq. Ft."/>
    <s v="11,000-20,244"/>
    <n v="13500"/>
    <n v="114.76318621973928"/>
    <m/>
  </r>
  <r>
    <n v="59"/>
    <x v="10"/>
    <s v="New Office Building"/>
    <s v="New Office Building"/>
    <n v="11"/>
    <s v="Yes"/>
    <s v="Yes"/>
    <s v="Yes"/>
    <s v="Sq. Ft."/>
    <s v="3,200-105,000"/>
    <n v="13538"/>
    <n v="415.47421606639966"/>
    <m/>
  </r>
  <r>
    <n v="60"/>
    <x v="10"/>
    <s v="New Small Off Add"/>
    <s v="New Small Office Addition"/>
    <n v="6"/>
    <s v="Yes"/>
    <s v="Yes"/>
    <s v="Yes"/>
    <s v="Sq. Ft."/>
    <s v="1,933-15,684"/>
    <n v="4684"/>
    <n v="256.03480047621156"/>
    <m/>
  </r>
  <r>
    <n v="61"/>
    <x v="10"/>
    <s v="New-Ren Office 50-50"/>
    <s v="New/Ren Office 50-50"/>
    <n v="6"/>
    <s v="Yes"/>
    <s v="Yes"/>
    <s v="Yes"/>
    <s v="Sq. Ft."/>
    <s v="1,643-50,000"/>
    <n v="7903.5"/>
    <n v="313.98189213995158"/>
    <m/>
  </r>
  <r>
    <n v="62"/>
    <x v="10"/>
    <s v="Ren Office - L"/>
    <s v="Ren. Office - L"/>
    <n v="6"/>
    <s v="Yes"/>
    <s v="Yes"/>
    <s v="Yes"/>
    <s v="Sq. Ft."/>
    <s v="7,500-163,935"/>
    <n v="118000"/>
    <n v="29.563135573334172"/>
    <m/>
  </r>
  <r>
    <n v="63"/>
    <x v="10"/>
    <s v="Ren Office - M"/>
    <s v="Ren. Office - M"/>
    <n v="6"/>
    <s v="Yes"/>
    <s v="Yes"/>
    <s v="Yes"/>
    <s v="Sq. Ft."/>
    <s v="1,933-163,935"/>
    <n v="31370"/>
    <n v="205.84316029336188"/>
    <m/>
  </r>
  <r>
    <n v="64"/>
    <x v="10"/>
    <s v="Ren Office - H"/>
    <s v="Ren. Office - H"/>
    <n v="7"/>
    <s v="Yes"/>
    <s v="Yes"/>
    <s v="Yes"/>
    <s v="Sq. Ft."/>
    <s v="9,730-163,935"/>
    <n v="33935"/>
    <n v="278.34487030628264"/>
    <m/>
  </r>
  <r>
    <n v="82"/>
    <x v="11"/>
    <s v="Shooting Range"/>
    <s v="Shooting Range"/>
    <n v="2"/>
    <s v="Yes"/>
    <s v="Yes"/>
    <s v="Yes"/>
    <s v="Sq. Ft."/>
    <s v="10,000-20,976"/>
    <n v="15488"/>
    <n v="255.15644177227119"/>
    <m/>
  </r>
  <r>
    <n v="83"/>
    <x v="11"/>
    <s v="Oyster Hatcheries"/>
    <s v="Oyster Hatcheries"/>
    <n v="2"/>
    <s v="Yes"/>
    <s v="Yes"/>
    <s v="Yes"/>
    <s v="Sq. Ft."/>
    <s v="11,704-62,800"/>
    <n v="37252"/>
    <n v="770.81888709752229"/>
    <m/>
  </r>
  <r>
    <n v="84"/>
    <x v="11"/>
    <s v="New Police Station"/>
    <s v="New Police Station"/>
    <n v="6"/>
    <s v="Yes"/>
    <s v="Yes"/>
    <s v="Yes"/>
    <s v="Sq. Ft."/>
    <s v="1,933-97,866"/>
    <n v="15700"/>
    <n v="391.54911912685566"/>
    <m/>
  </r>
  <r>
    <n v="101"/>
    <x v="11"/>
    <s v="New Vocational Labs"/>
    <s v="New Vocational Labs"/>
    <n v="3"/>
    <s v="Yes"/>
    <s v="Yes"/>
    <s v="Yes"/>
    <s v="Sq. Ft."/>
    <s v="26,000-60,000"/>
    <n v="30145"/>
    <n v="601.77104304266732"/>
    <m/>
  </r>
  <r>
    <n v="102"/>
    <x v="11"/>
    <s v="Maintenance Buildings"/>
    <s v="Maintenance Buildings"/>
    <n v="10"/>
    <s v="Yes"/>
    <s v="Yes"/>
    <s v="Yes"/>
    <s v="Sq. Ft."/>
    <s v="4,200-14,991"/>
    <n v="5731"/>
    <n v="290.50417000672405"/>
    <m/>
  </r>
  <r>
    <n v="65"/>
    <x v="12"/>
    <s v="Parking"/>
    <s v="New Parking (surface lots)"/>
    <n v="13"/>
    <s v="Yes"/>
    <s v="Yes"/>
    <s v="No"/>
    <s v="Spaces"/>
    <s v="94-520"/>
    <n v="199"/>
    <n v="3342.1665026161736"/>
    <m/>
  </r>
  <r>
    <n v="67"/>
    <x v="13"/>
    <s v="Parking Structure"/>
    <s v="New Parking Structure"/>
    <n v="12"/>
    <s v="Yes"/>
    <s v="Yes"/>
    <s v="Yes"/>
    <s v="Sq. Ft."/>
    <s v="102,455-840,000"/>
    <n v="248278.5"/>
    <n v="79.701625455325768"/>
    <m/>
  </r>
  <r>
    <n v="44"/>
    <x v="14"/>
    <s v="Research Labs"/>
    <s v="Research Labs"/>
    <n v="8"/>
    <s v="Yes"/>
    <s v="Yes"/>
    <s v="Yes"/>
    <s v="Sq. Ft."/>
    <s v="15,014-100,000"/>
    <n v="41935.5"/>
    <n v="919.55389005607572"/>
    <m/>
  </r>
  <r>
    <n v="45"/>
    <x v="14"/>
    <s v="Research Lab Additions"/>
    <s v="Research Lab Additions"/>
    <n v="2"/>
    <s v="Yes"/>
    <s v="Yes"/>
    <s v="Yes"/>
    <s v="Sq. Ft."/>
    <s v="4,190-15,014"/>
    <n v="9602"/>
    <n v="981.32824454734543"/>
    <m/>
  </r>
  <r>
    <n v="46"/>
    <x v="14"/>
    <s v="Research Lab Renovations - H"/>
    <s v="Research Lab Renovations - H"/>
    <n v="7"/>
    <s v="Yes"/>
    <s v="Yes"/>
    <s v="Yes"/>
    <s v="Sq. Ft."/>
    <s v="2,782-30,514"/>
    <n v="10500"/>
    <n v="1110.9803631027255"/>
    <m/>
  </r>
  <r>
    <n v="68"/>
    <x v="15"/>
    <s v="Roofing"/>
    <s v="Roof Replacement"/>
    <n v="32"/>
    <s v="Yes"/>
    <s v="Yes"/>
    <s v="Yes"/>
    <s v="Sq. Ft."/>
    <s v="2,843-422,170"/>
    <n v="35837"/>
    <n v="10.776954482030252"/>
    <m/>
  </r>
  <r>
    <n v="69"/>
    <x v="16"/>
    <s v="Student Centers"/>
    <s v="New Student Centers"/>
    <n v="8"/>
    <s v="Yes"/>
    <s v="Yes"/>
    <s v="Yes"/>
    <s v="Sq. Ft."/>
    <s v="6,800-177,362"/>
    <n v="78750"/>
    <n v="386.58321057471483"/>
    <m/>
  </r>
  <r>
    <n v="70"/>
    <x v="16"/>
    <s v="Ren Student Centers"/>
    <s v="Ren Student Centers"/>
    <n v="3"/>
    <s v="Yes"/>
    <s v="Yes"/>
    <s v="Yes"/>
    <s v="Sq. Ft."/>
    <s v="24,150-113,531"/>
    <n v="44930"/>
    <n v="154.05624795452573"/>
    <m/>
  </r>
  <r>
    <n v="71"/>
    <x v="17"/>
    <s v="New Theaters"/>
    <s v="New Theater"/>
    <n v="5"/>
    <s v="Yes"/>
    <s v="Yes"/>
    <s v="Yes"/>
    <s v="Sq. Ft."/>
    <s v="5,063-41,983"/>
    <n v="23500"/>
    <n v="533.65950123260143"/>
    <m/>
  </r>
  <r>
    <n v="72"/>
    <x v="17"/>
    <s v="Ren Theaters - L"/>
    <s v="Ren. Theater - L"/>
    <n v="1"/>
    <s v="Yes"/>
    <s v="Yes"/>
    <s v="Yes"/>
    <s v="Sq. Ft."/>
    <s v="40,000-40,000"/>
    <n v="40000"/>
    <n v="44.088472194656497"/>
    <m/>
  </r>
  <r>
    <n v="73"/>
    <x v="17"/>
    <s v="Ren Theaters - M"/>
    <s v="Ren. Theater - M"/>
    <n v="2"/>
    <s v="Yes"/>
    <s v="Yes"/>
    <s v="Yes"/>
    <s v="Sq. Ft."/>
    <s v="27,600-40,000"/>
    <n v="33800"/>
    <n v="138.93141421336344"/>
    <m/>
  </r>
  <r>
    <n v="74"/>
    <x v="17"/>
    <s v="Ren Theaters - H"/>
    <s v="Ren. Theater - H"/>
    <n v="2"/>
    <s v="Yes"/>
    <s v="Yes"/>
    <s v="Yes"/>
    <s v="Sq. Ft."/>
    <s v="27,600-48,929"/>
    <n v="38264.5"/>
    <n v="331.24043963844707"/>
    <m/>
  </r>
  <r>
    <n v="75"/>
    <x v="17"/>
    <s v="Fine Arts Centers"/>
    <s v="Fine Arts Center"/>
    <n v="5"/>
    <s v="Yes"/>
    <s v="Yes"/>
    <s v="Yes"/>
    <s v="Sq. Ft."/>
    <s v="23,500-147,382"/>
    <n v="60000"/>
    <n v="511.06090179053217"/>
    <m/>
  </r>
  <r>
    <n v="76"/>
    <x v="17"/>
    <s v="Performing Arts Centers"/>
    <s v="Performing Arts Center"/>
    <n v="5"/>
    <s v="Yes"/>
    <s v="Yes"/>
    <s v="Yes"/>
    <s v="Sq. Ft."/>
    <s v="48,158-147,382"/>
    <n v="81386"/>
    <n v="674.81668499730711"/>
    <m/>
  </r>
  <r>
    <n v="80"/>
    <x v="18"/>
    <s v="Visitors Centers"/>
    <s v="Visitor's Centers"/>
    <n v="13"/>
    <s v="Yes"/>
    <s v="Yes"/>
    <s v="Yes"/>
    <s v="Sq. Ft."/>
    <s v="3,264-39,103"/>
    <n v="4463"/>
    <n v="272.56713953531499"/>
    <m/>
  </r>
  <r>
    <n v="41"/>
    <x v="19"/>
    <s v="New Wet Labs - M"/>
    <s v="New Wet Lab - M"/>
    <n v="10"/>
    <s v="Yes"/>
    <s v="Yes"/>
    <s v="Yes"/>
    <s v="Sq. Ft."/>
    <s v="2,304-116,791"/>
    <n v="23833.5"/>
    <n v="354.7562519786153"/>
    <m/>
  </r>
  <r>
    <n v="42"/>
    <x v="19"/>
    <s v="New Wet Labs - H"/>
    <s v="New Wet Lab - H"/>
    <n v="11"/>
    <s v="Yes"/>
    <s v="Yes"/>
    <s v="Yes"/>
    <s v="Sq. Ft."/>
    <s v="2,304-174,195"/>
    <n v="90853"/>
    <n v="457.49488393877925"/>
    <m/>
  </r>
  <r>
    <n v="43"/>
    <x v="19"/>
    <s v="Ren Wet Labs"/>
    <s v="Renovate Wet Lab - H"/>
    <n v="11"/>
    <s v="Yes"/>
    <s v="Yes"/>
    <s v="Yes"/>
    <s v="Sq. Ft."/>
    <s v="2,782-160,000"/>
    <n v="18274"/>
    <n v="385.3129886273433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9FC45D-F591-41DC-8DE4-FBE345215EBC}" name="PivotTable1" cacheId="14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8:R29" firstHeaderRow="1" firstDataRow="1" firstDataCol="1"/>
  <pivotFields count="13">
    <pivotField showAll="0"/>
    <pivotField axis="axisRow" showAll="0">
      <items count="22">
        <item x="0"/>
        <item x="1"/>
        <item x="2"/>
        <item x="3"/>
        <item x="4"/>
        <item x="5"/>
        <item x="6"/>
        <item x="7"/>
        <item x="8"/>
        <item x="9"/>
        <item m="1" x="20"/>
        <item x="10"/>
        <item x="11"/>
        <item x="12"/>
        <item x="13"/>
        <item x="14"/>
        <item x="15"/>
        <item x="16"/>
        <item x="17"/>
        <item x="18"/>
        <item x="19"/>
        <item t="default"/>
      </items>
    </pivotField>
    <pivotField dataField="1" showAll="0"/>
    <pivotField showAll="0"/>
    <pivotField showAll="0"/>
    <pivotField showAll="0"/>
    <pivotField showAll="0"/>
    <pivotField showAll="0"/>
    <pivotField showAll="0"/>
    <pivotField showAll="0"/>
    <pivotField numFmtId="174" showAll="0"/>
    <pivotField numFmtId="44" showAll="0"/>
    <pivotField showAll="0"/>
  </pivotFields>
  <rowFields count="1">
    <field x="1"/>
  </rowFields>
  <rowItems count="21">
    <i>
      <x/>
    </i>
    <i>
      <x v="1"/>
    </i>
    <i>
      <x v="2"/>
    </i>
    <i>
      <x v="3"/>
    </i>
    <i>
      <x v="4"/>
    </i>
    <i>
      <x v="5"/>
    </i>
    <i>
      <x v="6"/>
    </i>
    <i>
      <x v="7"/>
    </i>
    <i>
      <x v="8"/>
    </i>
    <i>
      <x v="9"/>
    </i>
    <i>
      <x v="11"/>
    </i>
    <i>
      <x v="12"/>
    </i>
    <i>
      <x v="13"/>
    </i>
    <i>
      <x v="14"/>
    </i>
    <i>
      <x v="15"/>
    </i>
    <i>
      <x v="16"/>
    </i>
    <i>
      <x v="17"/>
    </i>
    <i>
      <x v="18"/>
    </i>
    <i>
      <x v="19"/>
    </i>
    <i>
      <x v="20"/>
    </i>
    <i t="grand">
      <x/>
    </i>
  </rowItems>
  <colItems count="1">
    <i/>
  </colItems>
  <dataFields count="1">
    <dataField name="Count of VBCCD Tabs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EF76AF-8696-4AED-B802-5DE67F9FDA5A}" name="tbl_Blender_PWpercent" displayName="tbl_Blender_PWpercent_2" ref="S3:U8" totalsRowShown="0" headerRowDxfId="196" dataDxfId="195" tableBorderDxfId="194">
  <autoFilter ref="S3:U8" xr:uid="{0EEF76AF-8696-4AED-B802-5DE67F9FDA5A}"/>
  <tableColumns count="3">
    <tableColumn id="1" xr3:uid="{F5C758A4-DFE8-4645-ABC8-958F9F7B5122}" name="_x000a_FROM" dataDxfId="193" dataCellStyle="Normal 2"/>
    <tableColumn id="3" xr3:uid="{E2E4C7B3-7634-4A2E-9D47-8ACF879717DC}" name="_x000a_TO" dataDxfId="192" dataCellStyle="Normal 2 2"/>
    <tableColumn id="2" xr3:uid="{3F490E6C-AA01-4183-B76D-469CAF8B545C}" name="_x000a_PW %" dataDxfId="191"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F01077-B7D9-4521-8630-566511CA087C}" name="tbl_ProjectTypes_SF_CM" displayName="tbl_ProjectTypes_SF_CM" ref="V3:W7" totalsRowShown="0" headerRowDxfId="183" dataDxfId="182">
  <autoFilter ref="V3:W7" xr:uid="{F3F01077-B7D9-4521-8630-566511CA087C}"/>
  <tableColumns count="2">
    <tableColumn id="1" xr3:uid="{3DDAAA70-4B7A-4ED8-9313-D2563AB189CB}" name="Project Type (ths part) - Quantity Unit" dataDxfId="181"/>
    <tableColumn id="3" xr3:uid="{8D6C48B7-56A2-4E14-8C01-271E777610A3}" name="SF_CM Application" dataDxfId="18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3DDADF-4B76-4BA3-BC1D-A114584533CA}" name="tbl_VBCCDBldgTypes2024" displayName="tbl_VBCCDBldgTypes2024" ref="B3:Y19" totalsRowCount="1" headerRowDxfId="162" dataDxfId="161">
  <autoFilter ref="B3:Y18" xr:uid="{593DDADF-4B76-4BA3-BC1D-A114584533CA}"/>
  <tableColumns count="24">
    <tableColumn id="22" xr3:uid="{A1FB56E3-7761-496F-9749-4815E2B69E28}" name="#" totalsRowLabel="Total" dataDxfId="159" totalsRowDxfId="160">
      <calculatedColumnFormula>IF(tbl_VBCCDBldgTypes2024[[#This Row],[Concatenate]]="","",ROW()-ROW(tbl_VBCCDBldgTypes2024[[#Headers],['#]]))</calculatedColumnFormula>
    </tableColumn>
    <tableColumn id="23" xr3:uid="{AC82448F-DDE5-44AF-AF0C-FA52B9896DC8}" name="Concatenate" dataDxfId="157" totalsRowDxfId="158">
      <calculatedColumnFormula>_xlfn.TEXTJOIN(",",TRUE,OFFSET(tbl_VBCCDBldgTypes2024[[#This Row],['#]],0,COLUMN(tbl_VBCCDBldgTypes2024[[#This Row],[Concatenate]])-COLUMN(tbl_VBCCDBldgTypes2024[[#This Row],['#]])+1):OFFSET(tbl_VBCCDBldgTypes2024[[#This Row],['#]],0,COUNTA(tbl_VBCCDBldgTypes2024[#Headers])-1))</calculatedColumnFormula>
    </tableColumn>
    <tableColumn id="20" xr3:uid="{BA3BD8A0-3CC2-4D07-8AA1-6222AE116A83}" name="CHILLER PLANTS &amp; HVAC" dataDxfId="155" totalsRowDxfId="156"/>
    <tableColumn id="1" xr3:uid="{EA950A49-CED6-43A3-9832-4B9C7A5E63A3}" name="CLASSROOM BUILDINGS" totalsRowFunction="count" dataDxfId="153" totalsRowDxfId="154"/>
    <tableColumn id="25" xr3:uid="{A44C76F5-5113-47EB-8BB4-629538BC8103}" name="CORRECTIONAL FACILITIES" dataDxfId="151" totalsRowDxfId="152"/>
    <tableColumn id="2" xr3:uid="{0A402E06-0647-4679-8343-9855EA729415}" name="COURTS" totalsRowFunction="count" dataDxfId="149" totalsRowDxfId="150"/>
    <tableColumn id="3" xr3:uid="{EF03F0D2-6EF9-46AD-A54A-4C56D671879C}" name="DORMITORY" totalsRowFunction="count" dataDxfId="147" totalsRowDxfId="148"/>
    <tableColumn id="4" xr3:uid="{958396C4-49E0-4C61-B274-4015C2354A7A}" name="FOOD " totalsRowFunction="count" dataDxfId="145" totalsRowDxfId="146"/>
    <tableColumn id="5" xr3:uid="{5F99870D-7450-4AB6-AAC8-117A58AF11AC}" name="GYM-PHYS-ED BUILDINGS" totalsRowFunction="count" dataDxfId="143" totalsRowDxfId="144"/>
    <tableColumn id="6" xr3:uid="{AFB4FBBA-F804-4E84-8543-6A657C8BBF5A}" name="DRY LABS Physics Buildings, Engineering Buildings" totalsRowFunction="count" dataDxfId="141" totalsRowDxfId="142"/>
    <tableColumn id="7" xr3:uid="{A78130EB-457B-4FD2-8E31-8D9AB528D98D}" name="WET LABS Chemistry Buildings, Biology Buildings" totalsRowFunction="count" dataDxfId="139" totalsRowDxfId="140"/>
    <tableColumn id="8" xr3:uid="{B4758A96-79FA-4BD9-9A47-AAA3AE9255AE}" name="RESEARCH LABS" totalsRowFunction="count" dataDxfId="137" totalsRowDxfId="138"/>
    <tableColumn id="9" xr3:uid="{0E49F5D4-787D-4A06-BEC7-D124C68ECD3C}" name="LIBRARIES" totalsRowFunction="count" dataDxfId="135" totalsRowDxfId="136"/>
    <tableColumn id="10" xr3:uid="{3EA6E927-339C-41BD-9867-C0780ED2CA3A}" name="MEDICAL" totalsRowFunction="count" dataDxfId="133" totalsRowDxfId="134"/>
    <tableColumn id="11" xr3:uid="{5FA9BC44-940C-456D-ABBD-56872BDC2917}" name="MULTIPURPOSE BUILDINGS" totalsRowFunction="count" dataDxfId="131" totalsRowDxfId="132"/>
    <tableColumn id="12" xr3:uid="{C6382312-2171-478E-9CFB-C7EE9C0746FC}" name="MUSEUMS" totalsRowFunction="count" dataDxfId="129" totalsRowDxfId="130"/>
    <tableColumn id="13" xr3:uid="{81EFEFE9-4632-4316-A0FE-188119BE1B8E}" name="OFFICE BUILDINGS" totalsRowFunction="count" dataDxfId="127" totalsRowDxfId="128"/>
    <tableColumn id="14" xr3:uid="{06050BE3-176E-460D-B1E0-69626FBBFD60}" name="PARKING" totalsRowFunction="count" dataDxfId="125" totalsRowDxfId="126"/>
    <tableColumn id="15" xr3:uid="{DC59B077-4073-448C-81E1-EA203493B1EE}" name="PARKING STRUCTURE" totalsRowFunction="count" dataDxfId="123" totalsRowDxfId="124"/>
    <tableColumn id="16" xr3:uid="{050AAC5F-E446-43EA-9CA5-E76ED5AA561A}" name="ROOFING" totalsRowFunction="count" dataDxfId="121" totalsRowDxfId="122"/>
    <tableColumn id="17" xr3:uid="{CAE798F4-92EE-4638-8A6A-C94B304000F9}" name="STUDENT CENTERS" totalsRowFunction="count" dataDxfId="119" totalsRowDxfId="120"/>
    <tableColumn id="18" xr3:uid="{832E9AF8-5B5C-4D2E-AC0A-7351955E5A04}" name="THEATERS" totalsRowFunction="count" dataDxfId="117" totalsRowDxfId="118"/>
    <tableColumn id="21" xr3:uid="{4672E3EE-A4BB-445E-AABB-1876471620E0}" name="Other" totalsRowFunction="count" dataDxfId="115" totalsRowDxfId="116"/>
    <tableColumn id="19" xr3:uid="{36735CD8-5DA3-4301-9EFF-9FA07CDB0EAE}" name="UNIVERSITY WELCOME CENTERS" totalsRowFunction="count" dataDxfId="113" totalsRowDxfId="11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0E0A52-A96F-4F1F-99A2-AE2742C9B720}" name="Table4" displayName="Table4" ref="A1:I275" totalsRowShown="0" headerRowDxfId="15">
  <autoFilter ref="A1:I275" xr:uid="{0C0E0A52-A96F-4F1F-99A2-AE2742C9B720}"/>
  <tableColumns count="9">
    <tableColumn id="1" xr3:uid="{2CDB8841-BCA8-443E-859B-186C693DCB0D}" name="Name"/>
    <tableColumn id="2" xr3:uid="{9C55C7F7-C62C-476D-B1F6-BBDECC6ECD95}" name="RefersTo"/>
    <tableColumn id="3" xr3:uid="{B390FF86-293F-4727-94BC-0423900DC768}" name="ScopeType"/>
    <tableColumn id="4" xr3:uid="{AC2F32A9-12EF-4BD4-A976-A9D44D23C5D9}" name="ScopeName"/>
    <tableColumn id="5" xr3:uid="{6E7AB788-5626-4F77-81B8-0F2C6C180CFF}" name="Comment"/>
    <tableColumn id="6" xr3:uid="{D3283EC8-E40C-4263-A508-EDC66BAAB442}" name="ErrorDetail"/>
    <tableColumn id="7" xr3:uid="{3FD5AEC2-558B-48A3-8539-062C89130106}" name="BackupTimestamp" dataDxfId="14"/>
    <tableColumn id="8" xr3:uid="{00DDC058-F8BF-4B87-937E-B155E0804ACE}" name="WriteError"/>
    <tableColumn id="9" xr3:uid="{7CC6F675-5CB9-4F29-B7D6-08896A436997}" name="WriteErrorDetai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0B9F1F-7C0B-4677-B7D0-EA24CFCC9104}" name="Table17" displayName="Table17" ref="B3:G7" totalsRowShown="0" headerRowDxfId="7" dataDxfId="6">
  <autoFilter ref="B3:G7" xr:uid="{EAEA915F-9F48-4285-B953-F8A45349459A}"/>
  <tableColumns count="6">
    <tableColumn id="1" xr3:uid="{040478D9-DFC9-4AA0-A5E9-727248C62E49}" name="#" dataDxfId="5">
      <calculatedColumnFormula>ROW()-ROW($B$3)</calculatedColumnFormula>
    </tableColumn>
    <tableColumn id="2" xr3:uid="{F053FD31-3D48-4E06-9B3D-ABF9EAD87565}" name="Date" dataDxfId="4"/>
    <tableColumn id="3" xr3:uid="{AFA440FA-177E-4AFA-821B-D766F07C4085}" name="Tab" dataDxfId="3"/>
    <tableColumn id="4" xr3:uid="{811ADDDF-6498-4C9A-A915-C19EF3E87D4B}" name="Description" dataDxfId="2"/>
    <tableColumn id="5" xr3:uid="{C9AE0D06-B82E-4394-B718-359AE651CD43}" name="Status" dataDxfId="1"/>
    <tableColumn id="6" xr3:uid="{7C3CDC35-A739-4C06-8561-5C9C05B8FD0E}" name="Frequency" dataDxfId="0"/>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BHelpDesk@vita.virginia.gov" TargetMode="External"/><Relationship Id="rId7" Type="http://schemas.openxmlformats.org/officeDocument/2006/relationships/printerSettings" Target="../printerSettings/printerSettings1.bin"/><Relationship Id="rId2" Type="http://schemas.openxmlformats.org/officeDocument/2006/relationships/hyperlink" Target="https://www.tradelineinc.com/reports" TargetMode="External"/><Relationship Id="rId1" Type="http://schemas.openxmlformats.org/officeDocument/2006/relationships/hyperlink" Target="mailto:capout@dgs.virginia.gov" TargetMode="External"/><Relationship Id="rId6" Type="http://schemas.openxmlformats.org/officeDocument/2006/relationships/hyperlink" Target="https://eva.virginia.gov/" TargetMode="External"/><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table" Target="../tables/table2.xml"/><Relationship Id="rId2" Type="http://schemas.openxmlformats.org/officeDocument/2006/relationships/printerSettings" Target="../printerSettings/printerSettings10.bin"/><Relationship Id="rId1" Type="http://schemas.openxmlformats.org/officeDocument/2006/relationships/hyperlink" Target="https://www.rsmeans.com/media/wysiwyg/quarterly_updates/2024-Square-Foot-Project-Size-Modifiers.pdf" TargetMode="External"/><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6.xml"/><Relationship Id="rId1" Type="http://schemas.openxmlformats.org/officeDocument/2006/relationships/hyperlink" Target="https://dgs.virginia.gov/engineering-and-buildings/budget-development/cost-databa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17.xml"/><Relationship Id="rId3" Type="http://schemas.openxmlformats.org/officeDocument/2006/relationships/hyperlink" Target="https://dgs.virginia.gov/search/documents-and-forms/?filter=199" TargetMode="External"/><Relationship Id="rId7" Type="http://schemas.openxmlformats.org/officeDocument/2006/relationships/printerSettings" Target="../printerSettings/printerSettings19.bin"/><Relationship Id="rId2" Type="http://schemas.openxmlformats.org/officeDocument/2006/relationships/hyperlink" Target="https://dgs.virginia.gov/search/documents-and-forms/?filter=199" TargetMode="External"/><Relationship Id="rId1" Type="http://schemas.openxmlformats.org/officeDocument/2006/relationships/hyperlink" Target="https://dgs.virginia.gov/engineering-and-buildings/budget-development/pool-funding/" TargetMode="External"/><Relationship Id="rId6" Type="http://schemas.openxmlformats.org/officeDocument/2006/relationships/hyperlink" Target="../../crprs/Database/R_1%20ADMIN%20R_4%20(FINAL)%20Virginia%20Building%20Construction%20Cost%20Database%20-%202026.xlsx?web=1" TargetMode="External"/><Relationship Id="rId5" Type="http://schemas.openxmlformats.org/officeDocument/2006/relationships/hyperlink" Target="../../crprs/Database/R_1%20ADMIN%20R_4%20(FINAL)%20Virginia%20Building%20Construction%20Cost%20Database%20-%202026.xlsx?web=1" TargetMode="External"/><Relationship Id="rId10" Type="http://schemas.openxmlformats.org/officeDocument/2006/relationships/comments" Target="../comments7.xml"/><Relationship Id="rId4" Type="http://schemas.openxmlformats.org/officeDocument/2006/relationships/hyperlink" Target="https://dgs.virginia.gov/search/documents-and-forms/?filter=198" TargetMode="External"/><Relationship Id="rId9" Type="http://schemas.openxmlformats.org/officeDocument/2006/relationships/vmlDrawing" Target="../drawings/vmlDrawing8.v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44"/>
  <sheetViews>
    <sheetView showGridLines="0" tabSelected="1" workbookViewId="0">
      <selection activeCell="R8" sqref="R8"/>
    </sheetView>
  </sheetViews>
  <sheetFormatPr defaultColWidth="9.140625" defaultRowHeight="12.75"/>
  <cols>
    <col min="1" max="1" width="1.7109375" style="70" customWidth="1"/>
    <col min="2" max="2" width="17.7109375" style="70" customWidth="1"/>
    <col min="3" max="3" width="1.7109375" style="70" customWidth="1"/>
    <col min="4" max="4" width="17.7109375" style="70" customWidth="1"/>
    <col min="5" max="5" width="1.7109375" style="70" customWidth="1"/>
    <col min="6" max="6" width="17.7109375" style="70" customWidth="1"/>
    <col min="7" max="7" width="1.7109375" style="70" customWidth="1"/>
    <col min="8" max="8" width="17.7109375" style="72" customWidth="1"/>
    <col min="9" max="9" width="1.7109375" style="70" customWidth="1"/>
    <col min="10" max="10" width="17.7109375" style="70" customWidth="1"/>
    <col min="11" max="11" width="1.7109375" style="70" customWidth="1"/>
    <col min="12" max="12" width="17.7109375" style="70" customWidth="1"/>
    <col min="13" max="13" width="1.7109375" style="70" customWidth="1"/>
    <col min="14" max="14" width="17.7109375" style="70" customWidth="1"/>
    <col min="15" max="15" width="1.7109375" style="70" customWidth="1"/>
    <col min="16" max="16" width="17.7109375" style="72" customWidth="1"/>
    <col min="17" max="17" width="1.140625" style="70" customWidth="1"/>
    <col min="18" max="18" width="55.7109375" style="72" customWidth="1"/>
    <col min="19" max="16384" width="9.140625" style="70"/>
  </cols>
  <sheetData>
    <row r="1" spans="1:28" ht="117" customHeight="1">
      <c r="A1" s="89"/>
      <c r="B1" s="69" t="s">
        <v>0</v>
      </c>
      <c r="H1" s="70"/>
      <c r="J1" s="73"/>
      <c r="K1" s="73"/>
      <c r="L1" s="71"/>
      <c r="M1" s="71"/>
      <c r="N1" s="71"/>
      <c r="O1" s="71"/>
      <c r="P1" s="71"/>
      <c r="T1" s="72"/>
    </row>
    <row r="2" spans="1:28" ht="5.25" customHeight="1">
      <c r="H2" s="70"/>
      <c r="J2" s="73"/>
      <c r="K2" s="73"/>
      <c r="L2" s="71"/>
      <c r="M2" s="71"/>
      <c r="N2" s="71"/>
      <c r="O2" s="71"/>
      <c r="P2" s="71"/>
      <c r="T2" s="72"/>
    </row>
    <row r="3" spans="1:28" s="74" customFormat="1" ht="36" customHeight="1">
      <c r="B3" s="78" t="s">
        <v>1</v>
      </c>
      <c r="C3" s="73"/>
      <c r="D3" s="73"/>
      <c r="E3" s="73"/>
      <c r="F3" s="73"/>
      <c r="G3" s="73"/>
      <c r="H3" s="73"/>
      <c r="I3" s="73"/>
      <c r="J3" s="73"/>
      <c r="K3" s="73"/>
      <c r="L3" s="73"/>
      <c r="M3" s="73"/>
      <c r="N3" s="73"/>
      <c r="O3" s="73"/>
      <c r="P3" s="73"/>
      <c r="R3" s="77"/>
      <c r="T3" s="77"/>
    </row>
    <row r="4" spans="1:28" s="74" customFormat="1" ht="21.95" customHeight="1">
      <c r="B4" s="202" t="str">
        <f>'P-Overview'!A3</f>
        <v>(Rev. 6/4/2026)</v>
      </c>
      <c r="D4" s="239"/>
      <c r="H4" s="1060" t="s">
        <v>2</v>
      </c>
      <c r="I4" s="1061"/>
      <c r="J4" s="1061"/>
      <c r="R4" s="77"/>
      <c r="T4" s="77"/>
    </row>
    <row r="5" spans="1:28" s="74" customFormat="1" ht="21.95" customHeight="1">
      <c r="B5" s="169"/>
      <c r="F5" s="1062" t="s">
        <v>3</v>
      </c>
      <c r="G5" s="1063"/>
      <c r="H5" s="833"/>
      <c r="I5" s="170"/>
      <c r="R5" s="77"/>
      <c r="T5" s="77"/>
    </row>
    <row r="6" spans="1:28" s="87" customFormat="1" ht="42" customHeight="1" thickBot="1">
      <c r="B6" s="84" t="s">
        <v>4</v>
      </c>
      <c r="C6" s="85"/>
      <c r="D6" s="84" t="s">
        <v>5</v>
      </c>
      <c r="E6" s="84"/>
      <c r="F6" s="86" t="s">
        <v>6</v>
      </c>
      <c r="G6" s="85"/>
      <c r="H6" s="86" t="s">
        <v>7</v>
      </c>
      <c r="I6" s="84"/>
      <c r="J6" s="84" t="s">
        <v>8</v>
      </c>
      <c r="K6" s="84"/>
      <c r="L6" s="84" t="s">
        <v>9</v>
      </c>
      <c r="M6" s="84"/>
      <c r="N6" s="84" t="s">
        <v>10</v>
      </c>
      <c r="O6" s="84"/>
      <c r="P6" s="84" t="s">
        <v>11</v>
      </c>
      <c r="R6" s="88"/>
    </row>
    <row r="7" spans="1:28" ht="12" customHeight="1">
      <c r="B7" s="79"/>
      <c r="C7" s="79"/>
      <c r="D7" s="79"/>
      <c r="E7" s="79"/>
      <c r="F7" s="79"/>
      <c r="G7" s="79"/>
      <c r="H7" s="79"/>
      <c r="I7" s="79"/>
      <c r="J7" s="79"/>
      <c r="K7" s="79"/>
      <c r="L7" s="79"/>
      <c r="M7" s="79"/>
      <c r="N7" s="79"/>
      <c r="O7" s="79"/>
      <c r="P7" s="80"/>
    </row>
    <row r="8" spans="1:28" s="101" customFormat="1" ht="33" customHeight="1">
      <c r="B8" s="1064" t="s">
        <v>12</v>
      </c>
      <c r="C8" s="102"/>
      <c r="D8" s="1065" t="s">
        <v>13</v>
      </c>
      <c r="E8" s="102"/>
      <c r="F8" s="1064" t="s">
        <v>14</v>
      </c>
      <c r="G8" s="102"/>
      <c r="H8" s="1064" t="s">
        <v>15</v>
      </c>
      <c r="I8" s="102"/>
      <c r="J8" s="1066" t="s">
        <v>16</v>
      </c>
      <c r="K8" s="102"/>
      <c r="L8" s="1067" t="s">
        <v>16</v>
      </c>
      <c r="M8" s="102"/>
      <c r="N8" s="1068" t="s">
        <v>16</v>
      </c>
      <c r="O8" s="102"/>
      <c r="P8" s="834" t="s">
        <v>11</v>
      </c>
      <c r="Q8" s="103"/>
      <c r="R8" s="104"/>
      <c r="AB8" s="105"/>
    </row>
    <row r="9" spans="1:28" s="101" customFormat="1" ht="21.95" customHeight="1">
      <c r="B9" s="106"/>
      <c r="C9" s="102"/>
      <c r="D9" s="20"/>
      <c r="E9" s="102"/>
      <c r="F9" s="102"/>
      <c r="G9" s="102"/>
      <c r="H9" s="102"/>
      <c r="I9" s="102"/>
      <c r="J9" s="102"/>
      <c r="K9" s="102"/>
      <c r="L9" s="102"/>
      <c r="M9" s="102"/>
      <c r="N9" s="102"/>
      <c r="O9" s="102"/>
      <c r="P9" s="835"/>
      <c r="Q9" s="103"/>
      <c r="R9" s="104"/>
      <c r="Z9" s="105"/>
      <c r="AB9" s="105"/>
    </row>
    <row r="10" spans="1:28" s="101" customFormat="1" ht="33" customHeight="1">
      <c r="B10" s="1064" t="s">
        <v>17</v>
      </c>
      <c r="C10" s="102"/>
      <c r="D10" s="1064" t="s">
        <v>18</v>
      </c>
      <c r="E10" s="102"/>
      <c r="F10" s="1064" t="s">
        <v>19</v>
      </c>
      <c r="G10" s="102"/>
      <c r="H10" s="1069" t="s">
        <v>20</v>
      </c>
      <c r="I10" s="102"/>
      <c r="J10" s="1066" t="s">
        <v>21</v>
      </c>
      <c r="K10" s="102"/>
      <c r="L10" s="1067" t="s">
        <v>21</v>
      </c>
      <c r="M10" s="102"/>
      <c r="N10" s="1068" t="s">
        <v>21</v>
      </c>
      <c r="O10" s="102"/>
      <c r="P10" s="835"/>
      <c r="Q10" s="103"/>
      <c r="R10" s="104"/>
      <c r="Z10" s="105"/>
      <c r="AB10" s="105"/>
    </row>
    <row r="11" spans="1:28" s="101" customFormat="1" ht="21.95" customHeight="1">
      <c r="B11" s="106"/>
      <c r="C11" s="102"/>
      <c r="D11" s="107"/>
      <c r="E11" s="102"/>
      <c r="F11" s="102"/>
      <c r="G11" s="102"/>
      <c r="H11" s="102"/>
      <c r="I11" s="102"/>
      <c r="J11" s="102"/>
      <c r="K11" s="102"/>
      <c r="L11" s="102"/>
      <c r="M11" s="102"/>
      <c r="N11" s="102"/>
      <c r="O11" s="102"/>
      <c r="P11" s="835"/>
      <c r="Q11" s="103"/>
      <c r="R11" s="104"/>
      <c r="Z11" s="105"/>
      <c r="AB11" s="105"/>
    </row>
    <row r="12" spans="1:28" s="101" customFormat="1" ht="33" customHeight="1">
      <c r="B12" s="108"/>
      <c r="C12" s="102"/>
      <c r="D12" s="1064" t="s">
        <v>22</v>
      </c>
      <c r="E12" s="102"/>
      <c r="F12" s="1064" t="s">
        <v>23</v>
      </c>
      <c r="G12" s="102"/>
      <c r="H12" s="1069" t="s">
        <v>24</v>
      </c>
      <c r="I12" s="102"/>
      <c r="J12" s="1066" t="s">
        <v>25</v>
      </c>
      <c r="K12" s="102"/>
      <c r="L12" s="1067" t="s">
        <v>25</v>
      </c>
      <c r="M12" s="102"/>
      <c r="N12" s="1068" t="s">
        <v>25</v>
      </c>
      <c r="O12" s="102"/>
      <c r="P12" s="835"/>
      <c r="Q12" s="103"/>
      <c r="R12" s="104"/>
      <c r="Z12" s="105"/>
      <c r="AB12" s="105"/>
    </row>
    <row r="13" spans="1:28" s="101" customFormat="1" ht="21.95" customHeight="1">
      <c r="B13" s="102"/>
      <c r="C13" s="102"/>
      <c r="D13" s="102"/>
      <c r="E13" s="102"/>
      <c r="F13" s="102"/>
      <c r="G13" s="102"/>
      <c r="H13" s="102"/>
      <c r="I13" s="102"/>
      <c r="J13" s="106"/>
      <c r="K13" s="102"/>
      <c r="L13" s="106"/>
      <c r="M13" s="102"/>
      <c r="N13" s="106"/>
      <c r="O13" s="102"/>
      <c r="P13" s="102"/>
      <c r="Q13" s="103"/>
      <c r="R13" s="104"/>
      <c r="Y13" s="105"/>
      <c r="AA13" s="105"/>
    </row>
    <row r="14" spans="1:28" s="101" customFormat="1" ht="33" customHeight="1">
      <c r="B14" s="108"/>
      <c r="C14" s="102"/>
      <c r="D14" s="1064" t="s">
        <v>26</v>
      </c>
      <c r="E14" s="102"/>
      <c r="F14" s="102"/>
      <c r="G14" s="102"/>
      <c r="H14" s="1069" t="s">
        <v>27</v>
      </c>
      <c r="I14" s="102"/>
      <c r="J14" s="830" t="s">
        <v>28</v>
      </c>
      <c r="K14" s="831"/>
      <c r="L14" s="831"/>
      <c r="M14" s="831"/>
      <c r="N14" s="831"/>
      <c r="O14" s="832"/>
      <c r="P14" s="832"/>
      <c r="Q14" s="103"/>
      <c r="R14" s="104"/>
      <c r="Y14" s="105"/>
      <c r="AA14" s="105"/>
    </row>
    <row r="15" spans="1:28" s="101" customFormat="1" ht="21.95" customHeight="1">
      <c r="B15" s="106"/>
      <c r="C15" s="102"/>
      <c r="D15" s="102"/>
      <c r="E15" s="102"/>
      <c r="F15" s="102"/>
      <c r="G15" s="102"/>
      <c r="H15" s="81"/>
      <c r="I15" s="102"/>
      <c r="J15" s="81"/>
      <c r="K15" s="81"/>
      <c r="L15" s="81"/>
      <c r="M15" s="81"/>
      <c r="N15" s="81"/>
      <c r="O15" s="81"/>
      <c r="P15" s="81"/>
      <c r="Q15" s="103"/>
      <c r="R15" s="104"/>
      <c r="Y15" s="105"/>
      <c r="AA15" s="105"/>
    </row>
    <row r="16" spans="1:28" s="101" customFormat="1" ht="33" customHeight="1">
      <c r="B16" s="102"/>
      <c r="C16" s="102"/>
      <c r="D16" s="1064" t="s">
        <v>29</v>
      </c>
      <c r="F16" s="102"/>
      <c r="G16" s="102"/>
      <c r="H16" s="81"/>
      <c r="I16" s="102"/>
      <c r="J16" s="81"/>
      <c r="K16" s="81"/>
      <c r="L16" s="81"/>
      <c r="M16" s="81"/>
      <c r="N16" s="81"/>
      <c r="O16" s="81"/>
      <c r="P16" s="81"/>
      <c r="Q16" s="103"/>
      <c r="R16" s="104"/>
    </row>
    <row r="17" spans="2:28" s="33" customFormat="1" ht="21.95" customHeight="1">
      <c r="B17" s="83"/>
      <c r="C17" s="81"/>
      <c r="D17" s="106"/>
      <c r="E17" s="81"/>
      <c r="F17" s="83"/>
      <c r="G17" s="81"/>
      <c r="H17" s="81"/>
      <c r="I17" s="81"/>
      <c r="J17" s="81"/>
      <c r="K17" s="81"/>
      <c r="L17" s="81"/>
      <c r="M17" s="81"/>
      <c r="N17" s="81"/>
      <c r="O17" s="81"/>
      <c r="P17" s="81"/>
      <c r="Q17" s="20"/>
      <c r="R17" s="82"/>
      <c r="Y17" s="75"/>
      <c r="AA17" s="75"/>
    </row>
    <row r="18" spans="2:28" s="33" customFormat="1" ht="33" customHeight="1">
      <c r="B18" s="83"/>
      <c r="C18" s="81"/>
      <c r="D18" s="1064" t="s">
        <v>30</v>
      </c>
      <c r="E18" s="198"/>
      <c r="F18" s="171"/>
      <c r="G18" s="117"/>
      <c r="H18" s="117"/>
      <c r="I18" s="81"/>
      <c r="J18" s="20"/>
      <c r="K18" s="20"/>
      <c r="L18" s="20"/>
      <c r="M18" s="20"/>
      <c r="N18" s="20"/>
      <c r="O18" s="20"/>
      <c r="P18" s="20"/>
      <c r="Q18" s="20"/>
      <c r="R18" s="82"/>
    </row>
    <row r="19" spans="2:28" s="33" customFormat="1" ht="21.95" customHeight="1">
      <c r="B19" s="83"/>
      <c r="C19" s="81"/>
      <c r="D19" s="81"/>
      <c r="E19" s="81"/>
      <c r="F19" s="83"/>
      <c r="G19" s="81"/>
      <c r="H19" s="81"/>
      <c r="I19" s="172"/>
      <c r="J19" s="172"/>
      <c r="K19" s="20"/>
      <c r="L19" s="20"/>
      <c r="M19" s="20"/>
      <c r="N19" s="20"/>
      <c r="O19" s="20"/>
      <c r="P19" s="20"/>
      <c r="Q19" s="20"/>
      <c r="R19" s="82"/>
    </row>
    <row r="20" spans="2:28" s="33" customFormat="1" ht="33" customHeight="1">
      <c r="B20" s="20"/>
      <c r="C20" s="20"/>
      <c r="D20" s="1064" t="s">
        <v>31</v>
      </c>
      <c r="E20" s="20"/>
      <c r="F20" s="20"/>
      <c r="G20" s="20"/>
      <c r="H20" s="20"/>
      <c r="I20" s="20"/>
      <c r="J20" s="20"/>
      <c r="K20" s="20"/>
      <c r="L20" s="20"/>
      <c r="M20" s="20"/>
      <c r="N20" s="20"/>
      <c r="O20" s="20"/>
      <c r="P20" s="20"/>
      <c r="Q20" s="20"/>
      <c r="R20" s="82"/>
    </row>
    <row r="21" spans="2:28" s="33" customFormat="1" ht="21.95" customHeight="1">
      <c r="B21" s="20"/>
      <c r="C21" s="20"/>
      <c r="D21" s="81"/>
      <c r="E21" s="20"/>
      <c r="F21" s="20"/>
      <c r="G21" s="20"/>
      <c r="H21" s="20"/>
      <c r="I21" s="20"/>
      <c r="J21" s="20"/>
      <c r="K21" s="20"/>
      <c r="L21" s="20"/>
      <c r="M21" s="20"/>
      <c r="N21" s="20"/>
      <c r="O21" s="20"/>
      <c r="P21" s="20"/>
      <c r="Q21" s="20"/>
      <c r="R21" s="82"/>
    </row>
    <row r="22" spans="2:28" s="33" customFormat="1" ht="21.95" customHeight="1">
      <c r="B22" s="20"/>
      <c r="C22" s="20"/>
      <c r="D22" s="20"/>
      <c r="E22" s="20"/>
      <c r="F22" s="20"/>
      <c r="G22" s="20"/>
      <c r="H22" s="20"/>
      <c r="I22" s="20"/>
      <c r="J22" s="20"/>
      <c r="K22" s="20"/>
      <c r="L22" s="20"/>
      <c r="M22" s="20"/>
      <c r="N22" s="20"/>
      <c r="O22" s="20"/>
      <c r="P22" s="20"/>
      <c r="Q22" s="20"/>
      <c r="R22" s="82"/>
    </row>
    <row r="23" spans="2:28" s="33" customFormat="1" ht="21.95" customHeight="1">
      <c r="B23" s="20"/>
      <c r="C23" s="20"/>
      <c r="E23" s="20"/>
      <c r="F23" s="20"/>
      <c r="G23" s="20"/>
      <c r="H23" s="20"/>
      <c r="I23" s="20"/>
      <c r="J23" s="20"/>
      <c r="K23" s="20"/>
      <c r="L23" s="20"/>
      <c r="M23" s="20"/>
      <c r="N23" s="20"/>
      <c r="O23" s="20"/>
      <c r="P23" s="20"/>
      <c r="Q23" s="20"/>
      <c r="R23" s="82"/>
      <c r="Y23" s="75"/>
      <c r="AA23" s="75"/>
    </row>
    <row r="24" spans="2:28" s="33" customFormat="1" ht="21.95" customHeight="1">
      <c r="B24" s="20"/>
      <c r="C24" s="20"/>
      <c r="D24" s="20"/>
      <c r="E24" s="20"/>
      <c r="F24" s="20"/>
      <c r="G24" s="20"/>
      <c r="H24" s="20"/>
      <c r="I24" s="20"/>
      <c r="J24" s="20"/>
      <c r="K24" s="20"/>
      <c r="L24" s="20"/>
      <c r="M24" s="20"/>
      <c r="N24" s="20"/>
      <c r="O24" s="20"/>
      <c r="P24" s="20"/>
      <c r="Q24" s="20"/>
      <c r="R24" s="82" t="s">
        <v>32</v>
      </c>
      <c r="Y24" s="75"/>
      <c r="AA24" s="75"/>
    </row>
    <row r="25" spans="2:28" s="33" customFormat="1" ht="21.95" customHeight="1">
      <c r="B25" s="20"/>
      <c r="C25" s="20"/>
      <c r="D25" s="20"/>
      <c r="E25" s="20"/>
      <c r="F25" s="20"/>
      <c r="G25" s="20"/>
      <c r="I25" s="20"/>
      <c r="Q25" s="20"/>
      <c r="R25" s="82" t="s">
        <v>32</v>
      </c>
      <c r="AB25" s="75"/>
    </row>
    <row r="26" spans="2:28" s="33" customFormat="1" ht="15" customHeight="1">
      <c r="B26" s="20"/>
      <c r="C26" s="20"/>
      <c r="D26" s="20"/>
      <c r="E26" s="20"/>
      <c r="F26" s="20"/>
      <c r="G26" s="20"/>
      <c r="I26" s="20"/>
      <c r="Q26" s="20"/>
      <c r="R26" s="82"/>
      <c r="Z26" s="75"/>
      <c r="AB26" s="75"/>
    </row>
    <row r="27" spans="2:28" s="33" customFormat="1" ht="15" customHeight="1">
      <c r="D27" s="20"/>
      <c r="R27" s="75"/>
    </row>
    <row r="28" spans="2:28" s="33" customFormat="1" ht="15" customHeight="1">
      <c r="D28" s="20"/>
      <c r="R28" s="75"/>
      <c r="Z28" s="75"/>
      <c r="AB28" s="75"/>
    </row>
    <row r="29" spans="2:28" s="33" customFormat="1" ht="15" customHeight="1">
      <c r="R29" s="75"/>
      <c r="AB29" s="75"/>
    </row>
    <row r="30" spans="2:28" s="33" customFormat="1" ht="15" customHeight="1">
      <c r="R30" s="75"/>
      <c r="Z30" s="75"/>
      <c r="AB30" s="75"/>
    </row>
    <row r="31" spans="2:28" s="33" customFormat="1" ht="15" customHeight="1">
      <c r="R31" s="75"/>
      <c r="Z31" s="75"/>
      <c r="AB31" s="75"/>
    </row>
    <row r="32" spans="2:28" s="33" customFormat="1" ht="15" customHeight="1">
      <c r="R32" s="75"/>
      <c r="Z32" s="75"/>
      <c r="AB32" s="75"/>
    </row>
    <row r="33" spans="2:28" s="33" customFormat="1" ht="15" customHeight="1">
      <c r="R33" s="75"/>
      <c r="Z33" s="75"/>
      <c r="AB33" s="75"/>
    </row>
    <row r="34" spans="2:28" s="33" customFormat="1" ht="15" customHeight="1">
      <c r="H34" s="75"/>
      <c r="N34" s="76"/>
      <c r="P34" s="75"/>
      <c r="R34" s="75"/>
      <c r="Z34" s="75"/>
      <c r="AB34" s="75"/>
    </row>
    <row r="35" spans="2:28" s="33" customFormat="1" ht="15" customHeight="1">
      <c r="H35" s="75"/>
      <c r="N35" s="70"/>
      <c r="P35" s="75"/>
      <c r="R35" s="75"/>
      <c r="X35" s="70"/>
      <c r="Z35" s="75"/>
      <c r="AB35" s="75"/>
    </row>
    <row r="36" spans="2:28" s="33" customFormat="1" ht="15" customHeight="1">
      <c r="H36" s="75"/>
      <c r="P36" s="75"/>
      <c r="R36" s="75"/>
    </row>
    <row r="37" spans="2:28" s="33" customFormat="1" ht="15" customHeight="1">
      <c r="H37" s="75"/>
      <c r="N37" s="70"/>
      <c r="P37" s="75"/>
      <c r="R37" s="75"/>
    </row>
    <row r="38" spans="2:28" s="33" customFormat="1" ht="15" customHeight="1">
      <c r="H38" s="75"/>
      <c r="J38" s="70"/>
      <c r="P38" s="75"/>
      <c r="R38" s="75"/>
    </row>
    <row r="39" spans="2:28" s="33" customFormat="1" ht="15" customHeight="1">
      <c r="H39" s="75"/>
      <c r="J39" s="70"/>
      <c r="P39" s="75"/>
      <c r="R39" s="75"/>
    </row>
    <row r="40" spans="2:28" s="33" customFormat="1" ht="15" customHeight="1">
      <c r="H40" s="72"/>
      <c r="J40" s="70"/>
      <c r="K40" s="70"/>
      <c r="M40" s="70"/>
      <c r="N40" s="70"/>
      <c r="O40" s="70"/>
      <c r="P40" s="72"/>
      <c r="R40" s="75"/>
    </row>
    <row r="41" spans="2:28" s="33" customFormat="1" ht="15" customHeight="1">
      <c r="H41" s="72"/>
      <c r="J41" s="70"/>
      <c r="K41" s="70"/>
      <c r="M41" s="70"/>
      <c r="N41" s="70"/>
      <c r="O41" s="70"/>
      <c r="P41" s="72"/>
      <c r="R41" s="75"/>
    </row>
    <row r="42" spans="2:28">
      <c r="B42" s="33"/>
      <c r="D42" s="33"/>
    </row>
    <row r="43" spans="2:28">
      <c r="B43" s="33"/>
      <c r="D43" s="33"/>
    </row>
    <row r="44" spans="2:28">
      <c r="D44" s="33"/>
    </row>
  </sheetData>
  <sheetProtection algorithmName="SHA-512" hashValue="JpYZabP0yRoeMEdNuo0PYnsD2bUm/szxozHYqTYN6ogovmdHTfr5BLmA2J3N9yJ8F1blfSy6cmZeZ+RHmleL0g==" saltValue="eK+EyZPHLWtxcZcZ3sfXYA==" spinCount="100000" sheet="1" objects="1" scenarios="1" autoFilter="0"/>
  <mergeCells count="4">
    <mergeCell ref="J14:P14"/>
    <mergeCell ref="H4:J4"/>
    <mergeCell ref="F5:H5"/>
    <mergeCell ref="P8:P12"/>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imate'!A1" display="Planning" xr:uid="{00000000-0004-0000-0000-000018000000}"/>
    <hyperlink ref="D8" location="'Executive Summary'!A1" display="Narrative" xr:uid="{00000000-0004-0000-0000-000019000000}"/>
    <hyperlink ref="H14" r:id="rId6" xr:uid="{480D189F-6C09-4CAF-BC41-EFC9FDA95B55}"/>
  </hyperlinks>
  <printOptions horizontalCentered="1" verticalCentered="1"/>
  <pageMargins left="0.2" right="0.2" top="0.75" bottom="0.75" header="0" footer="0"/>
  <pageSetup scale="88" orientation="landscape" r:id="rId7"/>
  <colBreaks count="1" manualBreakCount="1">
    <brk id="18" max="40" man="1"/>
  </colBreaks>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4E1C-FD77-484E-A00A-187CEEBD13EE}">
  <sheetPr codeName="Sheet12">
    <tabColor rgb="FFCC66FF"/>
  </sheetPr>
  <dimension ref="B2:W49"/>
  <sheetViews>
    <sheetView showGridLines="0" workbookViewId="0"/>
  </sheetViews>
  <sheetFormatPr defaultRowHeight="12.75"/>
  <cols>
    <col min="12" max="12" width="18.42578125" customWidth="1"/>
    <col min="13" max="13" width="16.85546875" bestFit="1" customWidth="1"/>
    <col min="14" max="14" width="13.7109375" bestFit="1" customWidth="1"/>
    <col min="15" max="15" width="10" bestFit="1" customWidth="1"/>
    <col min="17" max="17" width="19.28515625" customWidth="1"/>
    <col min="18" max="19" width="18.5703125" customWidth="1"/>
    <col min="22" max="22" width="43.28515625" customWidth="1"/>
    <col min="23" max="23" width="13" customWidth="1"/>
  </cols>
  <sheetData>
    <row r="2" spans="2:23" ht="15.75">
      <c r="B2" s="272" t="s">
        <v>509</v>
      </c>
      <c r="C2" s="759"/>
      <c r="D2" s="759"/>
      <c r="E2" s="759"/>
      <c r="F2" s="759"/>
      <c r="G2" s="759"/>
      <c r="H2" s="759"/>
      <c r="I2" s="759"/>
      <c r="J2" s="759"/>
      <c r="K2" s="759"/>
      <c r="L2" s="759"/>
      <c r="M2" s="759"/>
      <c r="N2" s="759"/>
      <c r="O2" s="759"/>
      <c r="P2" s="759"/>
      <c r="Q2" s="759"/>
      <c r="R2" s="759"/>
      <c r="S2" s="759"/>
      <c r="T2" s="759"/>
      <c r="U2" s="759"/>
      <c r="V2" s="759"/>
      <c r="W2" s="759"/>
    </row>
    <row r="3" spans="2:23">
      <c r="B3" s="759"/>
      <c r="C3" s="759"/>
      <c r="D3" s="759"/>
      <c r="E3" s="759"/>
      <c r="F3" s="759"/>
      <c r="G3" s="759"/>
      <c r="H3" s="759"/>
      <c r="I3" s="759"/>
      <c r="J3" s="759"/>
      <c r="K3" s="759"/>
      <c r="L3" s="759"/>
      <c r="M3" s="759"/>
      <c r="N3" s="759"/>
      <c r="O3" s="759"/>
      <c r="P3" s="759"/>
      <c r="Q3" s="759"/>
      <c r="R3" s="759"/>
      <c r="S3" s="759"/>
      <c r="T3" s="759"/>
      <c r="U3" s="759"/>
      <c r="V3" s="193" t="s">
        <v>510</v>
      </c>
      <c r="W3" s="193" t="s">
        <v>370</v>
      </c>
    </row>
    <row r="4" spans="2:23">
      <c r="B4" s="759"/>
      <c r="C4" s="759"/>
      <c r="D4" s="759"/>
      <c r="E4" s="759"/>
      <c r="F4" s="759"/>
      <c r="G4" s="759"/>
      <c r="H4" s="759"/>
      <c r="I4" s="759"/>
      <c r="J4" s="759"/>
      <c r="K4" s="759"/>
      <c r="L4" s="759"/>
      <c r="M4" s="759"/>
      <c r="N4" s="759"/>
      <c r="O4" s="759"/>
      <c r="P4" s="759"/>
      <c r="Q4" s="759"/>
      <c r="R4" s="759"/>
      <c r="S4" s="759"/>
      <c r="T4" s="759"/>
      <c r="U4" s="759"/>
      <c r="V4" s="193" t="s">
        <v>511</v>
      </c>
      <c r="W4" s="41">
        <v>1</v>
      </c>
    </row>
    <row r="5" spans="2:23">
      <c r="B5" s="759"/>
      <c r="C5" s="759"/>
      <c r="D5" s="759"/>
      <c r="E5" s="759"/>
      <c r="F5" s="759"/>
      <c r="G5" s="759"/>
      <c r="H5" s="759"/>
      <c r="I5" s="759"/>
      <c r="J5" s="759"/>
      <c r="K5" s="759"/>
      <c r="L5" s="759"/>
      <c r="M5" s="759"/>
      <c r="N5" s="759"/>
      <c r="O5" s="759"/>
      <c r="P5" s="759"/>
      <c r="Q5" s="759"/>
      <c r="R5" s="759"/>
      <c r="S5" s="759"/>
      <c r="T5" s="759"/>
      <c r="U5" s="759"/>
      <c r="V5" s="193" t="s">
        <v>512</v>
      </c>
      <c r="W5" s="41">
        <v>1</v>
      </c>
    </row>
    <row r="6" spans="2:23">
      <c r="B6" s="759"/>
      <c r="C6" s="759"/>
      <c r="D6" s="759"/>
      <c r="E6" s="759"/>
      <c r="F6" s="759"/>
      <c r="G6" s="759"/>
      <c r="H6" s="759"/>
      <c r="I6" s="759"/>
      <c r="J6" s="759"/>
      <c r="K6" s="759"/>
      <c r="L6" s="759"/>
      <c r="M6" s="759"/>
      <c r="N6" s="759"/>
      <c r="O6" s="759"/>
      <c r="P6" s="759"/>
      <c r="Q6" s="759"/>
      <c r="R6" s="759"/>
      <c r="S6" s="759"/>
      <c r="T6" s="759"/>
      <c r="U6" s="759"/>
      <c r="V6" s="193" t="s">
        <v>513</v>
      </c>
      <c r="W6" s="41">
        <v>0</v>
      </c>
    </row>
    <row r="7" spans="2:23">
      <c r="B7" s="759"/>
      <c r="C7" s="759"/>
      <c r="D7" s="759"/>
      <c r="E7" s="759"/>
      <c r="F7" s="759"/>
      <c r="G7" s="759"/>
      <c r="H7" s="759"/>
      <c r="I7" s="759"/>
      <c r="J7" s="759"/>
      <c r="K7" s="759"/>
      <c r="L7" s="759"/>
      <c r="M7" s="759"/>
      <c r="N7" s="759"/>
      <c r="O7" s="759"/>
      <c r="P7" s="759"/>
      <c r="Q7" s="759"/>
      <c r="R7" s="759"/>
      <c r="S7" s="759"/>
      <c r="T7" s="759"/>
      <c r="U7" s="759"/>
      <c r="V7" s="193" t="s">
        <v>514</v>
      </c>
      <c r="W7" s="41">
        <v>0</v>
      </c>
    </row>
    <row r="32" ht="13.5" thickBot="1"/>
    <row r="33" spans="12:21" ht="24.75" thickTop="1" thickBot="1">
      <c r="L33" s="759"/>
      <c r="M33" s="925" t="s">
        <v>515</v>
      </c>
      <c r="N33" s="926"/>
      <c r="O33" s="926"/>
      <c r="P33" s="927"/>
      <c r="Q33" s="759"/>
      <c r="R33" s="925" t="s">
        <v>516</v>
      </c>
      <c r="S33" s="926"/>
      <c r="T33" s="926"/>
      <c r="U33" s="927"/>
    </row>
    <row r="34" spans="12:21" ht="13.5" thickTop="1">
      <c r="L34" s="759"/>
      <c r="M34" s="932" t="s">
        <v>517</v>
      </c>
      <c r="N34" s="933"/>
      <c r="O34" s="933"/>
      <c r="P34" s="934"/>
      <c r="Q34" s="759"/>
      <c r="R34" s="932" t="s">
        <v>517</v>
      </c>
      <c r="S34" s="933"/>
      <c r="T34" s="933"/>
      <c r="U34" s="934"/>
    </row>
    <row r="35" spans="12:21" ht="13.5" thickBot="1">
      <c r="L35" s="759"/>
      <c r="M35" s="935"/>
      <c r="N35" s="936"/>
      <c r="O35" s="936"/>
      <c r="P35" s="937"/>
      <c r="Q35" s="759"/>
      <c r="R35" s="935"/>
      <c r="S35" s="936"/>
      <c r="T35" s="936"/>
      <c r="U35" s="937"/>
    </row>
    <row r="36" spans="12:21" ht="24" thickTop="1">
      <c r="L36" s="759"/>
      <c r="M36" s="282" t="s">
        <v>374</v>
      </c>
      <c r="N36" s="283"/>
      <c r="O36" s="928" t="str">
        <f>T36</f>
        <v/>
      </c>
      <c r="P36" s="929"/>
      <c r="Q36" s="759"/>
      <c r="R36" s="282" t="s">
        <v>374</v>
      </c>
      <c r="S36" s="283"/>
      <c r="T36" s="941" t="str">
        <f>'P-Blender'!K10</f>
        <v/>
      </c>
      <c r="U36" s="942"/>
    </row>
    <row r="37" spans="12:21" ht="23.25">
      <c r="L37" s="759"/>
      <c r="M37" s="284"/>
      <c r="N37" s="285"/>
      <c r="O37" s="285"/>
      <c r="P37" s="286"/>
      <c r="Q37" s="759"/>
      <c r="R37" s="284"/>
      <c r="S37" s="285"/>
      <c r="T37" s="285"/>
      <c r="U37" s="286"/>
    </row>
    <row r="38" spans="12:21" ht="28.5" thickBot="1">
      <c r="L38" s="759"/>
      <c r="M38" s="287" t="s">
        <v>518</v>
      </c>
      <c r="N38" s="288"/>
      <c r="O38" s="930">
        <f>IF($O36&lt;0.5,1.1,IF($O36&lt;1,1.2+-0.2*$O36,IF($O36=1,1,IF($O36&lt;3.5,1.0311-0.0389*$O36,0.9))))</f>
        <v>0.9</v>
      </c>
      <c r="P38" s="931"/>
      <c r="Q38" s="759"/>
      <c r="R38" s="287" t="s">
        <v>518</v>
      </c>
      <c r="S38" s="288"/>
      <c r="T38" s="930">
        <f>IF($T36&lt;0.5,1.1,IF($T36&lt;1,1.2+-0.2*$T36,IF($T36=1,1,IF($T36&lt;2,1.06-0.06*$T36,IF(T36=2,0.94,IF(T36&lt;3.5,0.9933-0.0267*T36,0.9))))))</f>
        <v>0.9</v>
      </c>
      <c r="U38" s="931"/>
    </row>
    <row r="39" spans="12:21" ht="13.5" thickTop="1">
      <c r="L39" s="759"/>
      <c r="M39" s="759"/>
      <c r="N39" s="759"/>
      <c r="O39" s="759"/>
      <c r="P39" s="759"/>
      <c r="Q39" s="759"/>
      <c r="R39" s="759"/>
      <c r="S39" s="759"/>
      <c r="T39" s="759"/>
      <c r="U39" s="759"/>
    </row>
    <row r="40" spans="12:21" ht="16.5" thickBot="1">
      <c r="L40" s="759"/>
      <c r="M40" s="289" t="s">
        <v>519</v>
      </c>
      <c r="N40" s="289" t="s">
        <v>520</v>
      </c>
      <c r="O40" s="759"/>
      <c r="P40" s="759"/>
      <c r="Q40" s="759"/>
      <c r="R40" s="759"/>
      <c r="S40" s="759"/>
      <c r="T40" s="759"/>
      <c r="U40" s="759"/>
    </row>
    <row r="41" spans="12:21" ht="14.25" thickTop="1" thickBot="1">
      <c r="L41" s="277" t="s">
        <v>521</v>
      </c>
      <c r="M41" s="278" t="s">
        <v>374</v>
      </c>
      <c r="N41" s="278" t="s">
        <v>518</v>
      </c>
      <c r="O41" s="278" t="s">
        <v>522</v>
      </c>
      <c r="P41" s="278" t="s">
        <v>523</v>
      </c>
      <c r="Q41" s="290" t="s">
        <v>524</v>
      </c>
      <c r="R41" s="291" t="s">
        <v>521</v>
      </c>
      <c r="S41" s="294" t="s">
        <v>524</v>
      </c>
      <c r="T41" s="759"/>
      <c r="U41" s="759"/>
    </row>
    <row r="42" spans="12:21">
      <c r="L42" s="273" t="s">
        <v>525</v>
      </c>
      <c r="M42" s="274" t="s">
        <v>526</v>
      </c>
      <c r="N42" s="275">
        <v>0.9</v>
      </c>
      <c r="O42" s="275"/>
      <c r="P42" s="275"/>
      <c r="Q42" s="292"/>
      <c r="R42" s="293" t="s">
        <v>525</v>
      </c>
      <c r="S42" s="276"/>
      <c r="T42" s="759"/>
      <c r="U42" s="759"/>
    </row>
    <row r="43" spans="12:21" ht="13.15" customHeight="1">
      <c r="L43" s="742" t="s">
        <v>527</v>
      </c>
      <c r="M43" s="1177">
        <v>0.5</v>
      </c>
      <c r="N43" s="1177">
        <v>1.1000000000000001</v>
      </c>
      <c r="O43" s="1178">
        <f>(N43-N44)/(M43-M44)</f>
        <v>-0.20000000000000018</v>
      </c>
      <c r="P43" s="1178">
        <f>N43-O43*M43</f>
        <v>1.2000000000000002</v>
      </c>
      <c r="Q43" s="923" t="s">
        <v>528</v>
      </c>
      <c r="R43" s="743" t="s">
        <v>527</v>
      </c>
      <c r="S43" s="1179" t="s">
        <v>528</v>
      </c>
      <c r="T43" s="759"/>
      <c r="U43" s="759"/>
    </row>
    <row r="44" spans="12:21">
      <c r="L44" s="742" t="s">
        <v>527</v>
      </c>
      <c r="M44" s="1180">
        <v>1</v>
      </c>
      <c r="N44" s="1180">
        <v>1</v>
      </c>
      <c r="O44" s="1178"/>
      <c r="P44" s="1178"/>
      <c r="Q44" s="924"/>
      <c r="R44" s="743" t="s">
        <v>527</v>
      </c>
      <c r="S44" s="940"/>
      <c r="T44" s="759"/>
      <c r="U44" s="759"/>
    </row>
    <row r="45" spans="12:21">
      <c r="L45" s="744">
        <v>1</v>
      </c>
      <c r="M45" s="1181">
        <v>1</v>
      </c>
      <c r="N45" s="1181">
        <v>1</v>
      </c>
      <c r="O45" s="1181"/>
      <c r="P45" s="1181"/>
      <c r="Q45" s="745"/>
      <c r="R45" s="746">
        <v>1</v>
      </c>
      <c r="S45" s="747"/>
      <c r="T45" s="759"/>
      <c r="U45" s="759"/>
    </row>
    <row r="46" spans="12:21" ht="13.15" customHeight="1">
      <c r="L46" s="748" t="s">
        <v>529</v>
      </c>
      <c r="M46" s="1182">
        <v>1</v>
      </c>
      <c r="N46" s="1182">
        <v>1</v>
      </c>
      <c r="O46" s="1182"/>
      <c r="P46" s="1182"/>
      <c r="Q46" s="1183" t="s">
        <v>530</v>
      </c>
      <c r="R46" s="749" t="s">
        <v>529</v>
      </c>
      <c r="S46" s="1184"/>
      <c r="T46" s="759"/>
      <c r="U46" s="759"/>
    </row>
    <row r="47" spans="12:21">
      <c r="L47" s="748" t="s">
        <v>529</v>
      </c>
      <c r="M47" s="1182">
        <v>2</v>
      </c>
      <c r="N47" s="1182">
        <v>0.94</v>
      </c>
      <c r="O47" s="1182"/>
      <c r="P47" s="1182"/>
      <c r="Q47" s="938"/>
      <c r="R47" s="749" t="s">
        <v>529</v>
      </c>
      <c r="S47" s="750" t="s">
        <v>531</v>
      </c>
      <c r="T47" s="759"/>
      <c r="U47" s="759"/>
    </row>
    <row r="48" spans="12:21" ht="13.5" thickBot="1">
      <c r="L48" s="814" t="s">
        <v>529</v>
      </c>
      <c r="M48" s="815">
        <v>3.5</v>
      </c>
      <c r="N48" s="815">
        <v>0.9</v>
      </c>
      <c r="O48" s="815"/>
      <c r="P48" s="815"/>
      <c r="Q48" s="939"/>
      <c r="R48" s="816" t="s">
        <v>529</v>
      </c>
      <c r="S48" s="295" t="s">
        <v>532</v>
      </c>
      <c r="T48" s="759"/>
      <c r="U48" s="759"/>
    </row>
    <row r="49" ht="13.5" thickTop="1"/>
  </sheetData>
  <sheetProtection autoFilter="0"/>
  <mergeCells count="13">
    <mergeCell ref="Q46:Q48"/>
    <mergeCell ref="S43:S44"/>
    <mergeCell ref="R34:U35"/>
    <mergeCell ref="T36:U36"/>
    <mergeCell ref="T38:U38"/>
    <mergeCell ref="O43:O44"/>
    <mergeCell ref="P43:P44"/>
    <mergeCell ref="Q43:Q44"/>
    <mergeCell ref="M33:P33"/>
    <mergeCell ref="R33:U33"/>
    <mergeCell ref="O36:P36"/>
    <mergeCell ref="O38:P38"/>
    <mergeCell ref="M34:P35"/>
  </mergeCells>
  <hyperlinks>
    <hyperlink ref="B2" r:id="rId1" xr:uid="{E47567AF-5AD5-44D2-950C-DB73666AB21C}"/>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 Document" shapeId="192514" r:id="rId5">
          <objectPr defaultSize="0" r:id="rId6">
            <anchor moveWithCells="1">
              <from>
                <xdr:col>0</xdr:col>
                <xdr:colOff>561975</xdr:colOff>
                <xdr:row>3</xdr:row>
                <xdr:rowOff>133350</xdr:rowOff>
              </from>
              <to>
                <xdr:col>9</xdr:col>
                <xdr:colOff>552450</xdr:colOff>
                <xdr:row>36</xdr:row>
                <xdr:rowOff>209550</xdr:rowOff>
              </to>
            </anchor>
          </objectPr>
        </oleObject>
      </mc:Choice>
      <mc:Fallback>
        <oleObject progId="Acrobat Document" shapeId="192514" r:id="rId5"/>
      </mc:Fallback>
    </mc:AlternateContent>
  </oleObjects>
  <tableParts count="1">
    <tablePart r:id="rId7"/>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5" tint="-0.249977111117893"/>
    <pageSetUpPr fitToPage="1"/>
  </sheetPr>
  <dimension ref="A1:J74"/>
  <sheetViews>
    <sheetView showGridLines="0" workbookViewId="0">
      <selection sqref="A1:B1"/>
    </sheetView>
  </sheetViews>
  <sheetFormatPr defaultColWidth="9.140625" defaultRowHeight="12.75"/>
  <cols>
    <col min="1" max="1" width="7.5703125" style="29" customWidth="1"/>
    <col min="2" max="2" width="32.85546875" style="42" customWidth="1"/>
    <col min="3" max="3" width="15.7109375" style="31" customWidth="1"/>
    <col min="4" max="5" width="15.7109375" style="32" customWidth="1"/>
    <col min="6" max="6" width="57.5703125" style="42" customWidth="1"/>
    <col min="7" max="16384" width="9.140625" style="29"/>
  </cols>
  <sheetData>
    <row r="1" spans="1:10" s="99" customFormat="1" ht="21.95" customHeight="1">
      <c r="A1" s="862" t="s">
        <v>48</v>
      </c>
      <c r="B1" s="863"/>
      <c r="C1" s="97"/>
      <c r="D1" s="98"/>
      <c r="E1" s="98"/>
      <c r="F1" s="96"/>
    </row>
    <row r="2" spans="1:10" s="15" customFormat="1" ht="21.95" customHeight="1">
      <c r="A2" s="25"/>
      <c r="B2" s="43"/>
      <c r="C2" s="26"/>
      <c r="D2" s="27"/>
      <c r="F2" s="38"/>
      <c r="G2" s="28"/>
    </row>
    <row r="3" spans="1:10" s="15" customFormat="1" ht="21.95" customHeight="1">
      <c r="A3" s="906"/>
      <c r="B3" s="907"/>
      <c r="D3" s="20"/>
      <c r="F3" s="38"/>
    </row>
    <row r="4" spans="1:10" s="15" customFormat="1" ht="21.95" customHeight="1">
      <c r="A4" s="779"/>
      <c r="B4" s="44" t="s">
        <v>386</v>
      </c>
      <c r="D4" s="20"/>
      <c r="F4" s="38"/>
    </row>
    <row r="5" spans="1:10" ht="21.95" customHeight="1">
      <c r="B5" s="1185"/>
      <c r="C5" s="1186"/>
      <c r="D5" s="1187" t="s">
        <v>387</v>
      </c>
      <c r="E5" s="1188" t="e">
        <f>E7/E6</f>
        <v>#DIV/0!</v>
      </c>
      <c r="F5" s="1189"/>
    </row>
    <row r="6" spans="1:10" ht="21.95" customHeight="1">
      <c r="B6" s="1186"/>
      <c r="C6" s="1186"/>
      <c r="D6" s="1190" t="s">
        <v>388</v>
      </c>
      <c r="E6" s="1191"/>
      <c r="F6" s="1192"/>
    </row>
    <row r="7" spans="1:10" ht="21.95" customHeight="1">
      <c r="B7" s="1186"/>
      <c r="C7" s="1186"/>
      <c r="D7" s="1190" t="s">
        <v>376</v>
      </c>
      <c r="E7" s="1193">
        <f>SUM(E10:E226)</f>
        <v>0</v>
      </c>
      <c r="F7" s="1192"/>
    </row>
    <row r="8" spans="1:10" ht="21.95" customHeight="1">
      <c r="B8" s="1167">
        <f>'U-Type 2 Attr'!D5</f>
        <v>0</v>
      </c>
      <c r="C8" s="1168"/>
      <c r="D8" s="1169"/>
      <c r="E8" s="1170"/>
      <c r="F8" s="1168"/>
    </row>
    <row r="9" spans="1:10" s="30" customFormat="1" ht="21.95" customHeight="1">
      <c r="B9" s="1194" t="s">
        <v>389</v>
      </c>
      <c r="C9" s="1195" t="s">
        <v>369</v>
      </c>
      <c r="D9" s="1196" t="s">
        <v>390</v>
      </c>
      <c r="E9" s="1196" t="s">
        <v>376</v>
      </c>
      <c r="F9" s="1197" t="s">
        <v>91</v>
      </c>
    </row>
    <row r="10" spans="1:10" ht="21.95" customHeight="1">
      <c r="B10" s="1198"/>
      <c r="C10" s="1199"/>
      <c r="D10" s="1200"/>
      <c r="E10" s="1193" t="str">
        <f>IF(C10="","",D10*C10)</f>
        <v/>
      </c>
      <c r="F10" s="1198"/>
    </row>
    <row r="11" spans="1:10" ht="21.95" customHeight="1">
      <c r="B11" s="1198"/>
      <c r="C11" s="1199"/>
      <c r="D11" s="1200"/>
      <c r="E11" s="1193" t="str">
        <f t="shared" ref="E11:E74" si="0">IF(C11="","",D11*C11)</f>
        <v/>
      </c>
      <c r="F11" s="1198"/>
    </row>
    <row r="12" spans="1:10" ht="21.95" customHeight="1">
      <c r="B12" s="1198"/>
      <c r="C12" s="1199"/>
      <c r="D12" s="1200"/>
      <c r="E12" s="1193" t="str">
        <f t="shared" si="0"/>
        <v/>
      </c>
      <c r="F12" s="1198"/>
    </row>
    <row r="13" spans="1:10" ht="21.95" customHeight="1">
      <c r="B13" s="1198"/>
      <c r="C13" s="1199"/>
      <c r="D13" s="1200"/>
      <c r="E13" s="1193" t="str">
        <f t="shared" si="0"/>
        <v/>
      </c>
      <c r="F13" s="1198"/>
      <c r="J13" s="58"/>
    </row>
    <row r="14" spans="1:10" ht="21.95" customHeight="1">
      <c r="B14" s="1198"/>
      <c r="C14" s="1199"/>
      <c r="D14" s="1200"/>
      <c r="E14" s="1193" t="str">
        <f t="shared" si="0"/>
        <v/>
      </c>
      <c r="F14" s="1198"/>
    </row>
    <row r="15" spans="1:10" ht="21.95" customHeight="1">
      <c r="B15" s="1198"/>
      <c r="C15" s="1199"/>
      <c r="D15" s="1200"/>
      <c r="E15" s="1193" t="str">
        <f t="shared" si="0"/>
        <v/>
      </c>
      <c r="F15" s="1198"/>
    </row>
    <row r="16" spans="1:10" ht="21.95" customHeight="1">
      <c r="B16" s="1198"/>
      <c r="C16" s="1199"/>
      <c r="D16" s="1200"/>
      <c r="E16" s="1193" t="str">
        <f t="shared" si="0"/>
        <v/>
      </c>
      <c r="F16" s="1198"/>
    </row>
    <row r="17" spans="2:6" ht="21.95" customHeight="1">
      <c r="B17" s="1198"/>
      <c r="C17" s="1199"/>
      <c r="D17" s="1200"/>
      <c r="E17" s="1193" t="str">
        <f t="shared" si="0"/>
        <v/>
      </c>
      <c r="F17" s="1198"/>
    </row>
    <row r="18" spans="2:6" ht="21.95" customHeight="1">
      <c r="B18" s="1198"/>
      <c r="C18" s="1199"/>
      <c r="D18" s="1200"/>
      <c r="E18" s="1193" t="str">
        <f t="shared" si="0"/>
        <v/>
      </c>
      <c r="F18" s="1198"/>
    </row>
    <row r="19" spans="2:6" ht="21.95" customHeight="1">
      <c r="B19" s="1198"/>
      <c r="C19" s="1199"/>
      <c r="D19" s="1200"/>
      <c r="E19" s="1193" t="str">
        <f t="shared" si="0"/>
        <v/>
      </c>
      <c r="F19" s="1198"/>
    </row>
    <row r="20" spans="2:6" ht="21.95" customHeight="1">
      <c r="B20" s="1198"/>
      <c r="C20" s="1199"/>
      <c r="D20" s="1200"/>
      <c r="E20" s="1193" t="str">
        <f t="shared" si="0"/>
        <v/>
      </c>
      <c r="F20" s="1198"/>
    </row>
    <row r="21" spans="2:6" ht="21.95" customHeight="1">
      <c r="B21" s="1198"/>
      <c r="C21" s="1199"/>
      <c r="D21" s="1200"/>
      <c r="E21" s="1193" t="str">
        <f t="shared" si="0"/>
        <v/>
      </c>
      <c r="F21" s="1198"/>
    </row>
    <row r="22" spans="2:6" ht="21.95" customHeight="1">
      <c r="B22" s="1198"/>
      <c r="C22" s="1199"/>
      <c r="D22" s="1200"/>
      <c r="E22" s="1193" t="str">
        <f t="shared" si="0"/>
        <v/>
      </c>
      <c r="F22" s="1198"/>
    </row>
    <row r="23" spans="2:6" ht="21.95" customHeight="1">
      <c r="B23" s="1198"/>
      <c r="C23" s="1199"/>
      <c r="D23" s="1200"/>
      <c r="E23" s="1193" t="str">
        <f t="shared" si="0"/>
        <v/>
      </c>
      <c r="F23" s="1198"/>
    </row>
    <row r="24" spans="2:6" ht="21.95" customHeight="1">
      <c r="B24" s="1198"/>
      <c r="C24" s="1199"/>
      <c r="D24" s="1200"/>
      <c r="E24" s="1193" t="str">
        <f t="shared" si="0"/>
        <v/>
      </c>
      <c r="F24" s="1198"/>
    </row>
    <row r="25" spans="2:6" ht="21.95" customHeight="1">
      <c r="B25" s="1198"/>
      <c r="C25" s="1199"/>
      <c r="D25" s="1200"/>
      <c r="E25" s="1193" t="str">
        <f t="shared" si="0"/>
        <v/>
      </c>
      <c r="F25" s="1198"/>
    </row>
    <row r="26" spans="2:6" ht="21.95" customHeight="1">
      <c r="B26" s="1198"/>
      <c r="C26" s="1199"/>
      <c r="D26" s="1200"/>
      <c r="E26" s="1193" t="str">
        <f t="shared" si="0"/>
        <v/>
      </c>
      <c r="F26" s="1198"/>
    </row>
    <row r="27" spans="2:6" ht="21.95" customHeight="1">
      <c r="B27" s="1198"/>
      <c r="C27" s="1199"/>
      <c r="D27" s="1200"/>
      <c r="E27" s="1193" t="str">
        <f t="shared" si="0"/>
        <v/>
      </c>
      <c r="F27" s="1198"/>
    </row>
    <row r="28" spans="2:6" ht="21.95" customHeight="1">
      <c r="B28" s="1198"/>
      <c r="C28" s="1199"/>
      <c r="D28" s="1200"/>
      <c r="E28" s="1193" t="str">
        <f t="shared" si="0"/>
        <v/>
      </c>
      <c r="F28" s="1198"/>
    </row>
    <row r="29" spans="2:6" ht="21.95" customHeight="1">
      <c r="B29" s="1198"/>
      <c r="C29" s="1199"/>
      <c r="D29" s="1200"/>
      <c r="E29" s="1193" t="str">
        <f t="shared" si="0"/>
        <v/>
      </c>
      <c r="F29" s="1198"/>
    </row>
    <row r="30" spans="2:6" ht="21.95" customHeight="1">
      <c r="B30" s="1198"/>
      <c r="C30" s="1199"/>
      <c r="D30" s="1200"/>
      <c r="E30" s="1193" t="str">
        <f t="shared" si="0"/>
        <v/>
      </c>
      <c r="F30" s="1198"/>
    </row>
    <row r="31" spans="2:6" ht="21.95" customHeight="1">
      <c r="B31" s="1198"/>
      <c r="C31" s="1199"/>
      <c r="D31" s="1200"/>
      <c r="E31" s="1193" t="str">
        <f t="shared" si="0"/>
        <v/>
      </c>
      <c r="F31" s="1198"/>
    </row>
    <row r="32" spans="2:6" ht="21.95" customHeight="1">
      <c r="B32" s="1198"/>
      <c r="C32" s="1199"/>
      <c r="D32" s="1200"/>
      <c r="E32" s="1193" t="str">
        <f t="shared" si="0"/>
        <v/>
      </c>
      <c r="F32" s="1198"/>
    </row>
    <row r="33" spans="2:6" ht="21.95" customHeight="1">
      <c r="B33" s="1198"/>
      <c r="C33" s="1199"/>
      <c r="D33" s="1200"/>
      <c r="E33" s="1193" t="str">
        <f t="shared" si="0"/>
        <v/>
      </c>
      <c r="F33" s="1198"/>
    </row>
    <row r="34" spans="2:6" ht="21.95" customHeight="1">
      <c r="B34" s="1198"/>
      <c r="C34" s="1199"/>
      <c r="D34" s="1200"/>
      <c r="E34" s="1193" t="str">
        <f t="shared" si="0"/>
        <v/>
      </c>
      <c r="F34" s="1198"/>
    </row>
    <row r="35" spans="2:6" ht="21.95" customHeight="1">
      <c r="B35" s="1198"/>
      <c r="C35" s="1199"/>
      <c r="D35" s="1200"/>
      <c r="E35" s="1193" t="str">
        <f t="shared" si="0"/>
        <v/>
      </c>
      <c r="F35" s="1198"/>
    </row>
    <row r="36" spans="2:6" ht="21.95" customHeight="1">
      <c r="B36" s="1198"/>
      <c r="C36" s="1199"/>
      <c r="D36" s="1200"/>
      <c r="E36" s="1193" t="str">
        <f t="shared" si="0"/>
        <v/>
      </c>
      <c r="F36" s="1198"/>
    </row>
    <row r="37" spans="2:6" ht="21.95" customHeight="1">
      <c r="B37" s="1198"/>
      <c r="C37" s="1199"/>
      <c r="D37" s="1200"/>
      <c r="E37" s="1193" t="str">
        <f t="shared" si="0"/>
        <v/>
      </c>
      <c r="F37" s="1198"/>
    </row>
    <row r="38" spans="2:6" ht="21.95" customHeight="1">
      <c r="B38" s="1198"/>
      <c r="C38" s="1199"/>
      <c r="D38" s="1200"/>
      <c r="E38" s="1193" t="str">
        <f t="shared" si="0"/>
        <v/>
      </c>
      <c r="F38" s="1198"/>
    </row>
    <row r="39" spans="2:6" ht="21.95" customHeight="1">
      <c r="B39" s="1198"/>
      <c r="C39" s="1199"/>
      <c r="D39" s="1200"/>
      <c r="E39" s="1193" t="str">
        <f t="shared" si="0"/>
        <v/>
      </c>
      <c r="F39" s="1198"/>
    </row>
    <row r="40" spans="2:6" ht="21.95" customHeight="1">
      <c r="B40" s="1198"/>
      <c r="C40" s="1199"/>
      <c r="D40" s="1200"/>
      <c r="E40" s="1193" t="str">
        <f t="shared" si="0"/>
        <v/>
      </c>
      <c r="F40" s="1198"/>
    </row>
    <row r="41" spans="2:6" ht="21.95" customHeight="1">
      <c r="B41" s="1198"/>
      <c r="C41" s="1199"/>
      <c r="D41" s="1200"/>
      <c r="E41" s="1193" t="str">
        <f t="shared" si="0"/>
        <v/>
      </c>
      <c r="F41" s="1198"/>
    </row>
    <row r="42" spans="2:6" ht="21.95" customHeight="1">
      <c r="B42" s="1198"/>
      <c r="C42" s="1199"/>
      <c r="D42" s="1200"/>
      <c r="E42" s="1193" t="str">
        <f t="shared" si="0"/>
        <v/>
      </c>
      <c r="F42" s="1198"/>
    </row>
    <row r="43" spans="2:6" ht="21.95" customHeight="1">
      <c r="B43" s="1198"/>
      <c r="C43" s="1199"/>
      <c r="D43" s="1200"/>
      <c r="E43" s="1193" t="str">
        <f t="shared" si="0"/>
        <v/>
      </c>
      <c r="F43" s="1198"/>
    </row>
    <row r="44" spans="2:6" ht="21.95" customHeight="1">
      <c r="B44" s="1198"/>
      <c r="C44" s="1199"/>
      <c r="D44" s="1200"/>
      <c r="E44" s="1193" t="str">
        <f t="shared" si="0"/>
        <v/>
      </c>
      <c r="F44" s="1198"/>
    </row>
    <row r="45" spans="2:6" ht="21.95" customHeight="1">
      <c r="B45" s="1198"/>
      <c r="C45" s="1199"/>
      <c r="D45" s="1200"/>
      <c r="E45" s="1193" t="str">
        <f t="shared" si="0"/>
        <v/>
      </c>
      <c r="F45" s="1198"/>
    </row>
    <row r="46" spans="2:6" ht="21.95" customHeight="1">
      <c r="B46" s="1198"/>
      <c r="C46" s="1199"/>
      <c r="D46" s="1200"/>
      <c r="E46" s="1193" t="str">
        <f t="shared" si="0"/>
        <v/>
      </c>
      <c r="F46" s="1198"/>
    </row>
    <row r="47" spans="2:6" ht="21.95" customHeight="1">
      <c r="B47" s="1198"/>
      <c r="C47" s="1199"/>
      <c r="D47" s="1200"/>
      <c r="E47" s="1193" t="str">
        <f t="shared" si="0"/>
        <v/>
      </c>
      <c r="F47" s="1198"/>
    </row>
    <row r="48" spans="2:6" ht="21.95" customHeight="1">
      <c r="B48" s="1198"/>
      <c r="C48" s="1199"/>
      <c r="D48" s="1200"/>
      <c r="E48" s="1193" t="str">
        <f t="shared" si="0"/>
        <v/>
      </c>
      <c r="F48" s="1198"/>
    </row>
    <row r="49" spans="2:6" ht="21.95" customHeight="1">
      <c r="B49" s="1198"/>
      <c r="C49" s="1199"/>
      <c r="D49" s="1200"/>
      <c r="E49" s="1193" t="str">
        <f t="shared" si="0"/>
        <v/>
      </c>
      <c r="F49" s="1198"/>
    </row>
    <row r="50" spans="2:6" ht="21.95" customHeight="1">
      <c r="B50" s="1198"/>
      <c r="C50" s="1199"/>
      <c r="D50" s="1200"/>
      <c r="E50" s="1193" t="str">
        <f t="shared" si="0"/>
        <v/>
      </c>
      <c r="F50" s="1198"/>
    </row>
    <row r="51" spans="2:6" ht="21.95" customHeight="1">
      <c r="B51" s="1198"/>
      <c r="C51" s="1199"/>
      <c r="D51" s="1200"/>
      <c r="E51" s="1193" t="str">
        <f t="shared" si="0"/>
        <v/>
      </c>
      <c r="F51" s="1198"/>
    </row>
    <row r="52" spans="2:6" ht="21.95" customHeight="1">
      <c r="B52" s="1198"/>
      <c r="C52" s="1199"/>
      <c r="D52" s="1200"/>
      <c r="E52" s="1193" t="str">
        <f t="shared" si="0"/>
        <v/>
      </c>
      <c r="F52" s="1198"/>
    </row>
    <row r="53" spans="2:6">
      <c r="B53" s="783"/>
      <c r="E53" s="32" t="str">
        <f t="shared" si="0"/>
        <v/>
      </c>
      <c r="F53" s="783"/>
    </row>
    <row r="54" spans="2:6">
      <c r="B54" s="783"/>
      <c r="E54" s="32" t="str">
        <f t="shared" si="0"/>
        <v/>
      </c>
      <c r="F54" s="783"/>
    </row>
    <row r="55" spans="2:6">
      <c r="B55" s="783"/>
      <c r="E55" s="32" t="str">
        <f t="shared" si="0"/>
        <v/>
      </c>
      <c r="F55" s="783"/>
    </row>
    <row r="56" spans="2:6">
      <c r="B56" s="783"/>
      <c r="E56" s="32" t="str">
        <f t="shared" si="0"/>
        <v/>
      </c>
      <c r="F56" s="783"/>
    </row>
    <row r="57" spans="2:6">
      <c r="B57" s="783"/>
      <c r="E57" s="32" t="str">
        <f t="shared" si="0"/>
        <v/>
      </c>
      <c r="F57" s="783"/>
    </row>
    <row r="58" spans="2:6">
      <c r="B58" s="783"/>
      <c r="E58" s="32" t="str">
        <f t="shared" si="0"/>
        <v/>
      </c>
      <c r="F58" s="783"/>
    </row>
    <row r="59" spans="2:6">
      <c r="B59" s="783"/>
      <c r="E59" s="32" t="str">
        <f t="shared" si="0"/>
        <v/>
      </c>
      <c r="F59" s="783"/>
    </row>
    <row r="60" spans="2:6">
      <c r="B60" s="783"/>
      <c r="E60" s="32" t="str">
        <f t="shared" si="0"/>
        <v/>
      </c>
      <c r="F60" s="783"/>
    </row>
    <row r="61" spans="2:6">
      <c r="B61" s="783"/>
      <c r="E61" s="32" t="str">
        <f t="shared" si="0"/>
        <v/>
      </c>
      <c r="F61" s="783"/>
    </row>
    <row r="62" spans="2:6">
      <c r="B62" s="783"/>
      <c r="E62" s="32" t="str">
        <f t="shared" si="0"/>
        <v/>
      </c>
      <c r="F62" s="783"/>
    </row>
    <row r="63" spans="2:6">
      <c r="B63" s="783"/>
      <c r="E63" s="32" t="str">
        <f t="shared" si="0"/>
        <v/>
      </c>
      <c r="F63" s="783"/>
    </row>
    <row r="64" spans="2:6">
      <c r="B64" s="783"/>
      <c r="E64" s="32" t="str">
        <f t="shared" si="0"/>
        <v/>
      </c>
      <c r="F64" s="783"/>
    </row>
    <row r="65" spans="5:5">
      <c r="E65" s="32" t="str">
        <f t="shared" si="0"/>
        <v/>
      </c>
    </row>
    <row r="66" spans="5:5">
      <c r="E66" s="32" t="str">
        <f t="shared" si="0"/>
        <v/>
      </c>
    </row>
    <row r="67" spans="5:5">
      <c r="E67" s="32" t="str">
        <f t="shared" si="0"/>
        <v/>
      </c>
    </row>
    <row r="68" spans="5:5">
      <c r="E68" s="32" t="str">
        <f t="shared" si="0"/>
        <v/>
      </c>
    </row>
    <row r="69" spans="5:5">
      <c r="E69" s="32" t="str">
        <f t="shared" si="0"/>
        <v/>
      </c>
    </row>
    <row r="70" spans="5:5">
      <c r="E70" s="32" t="str">
        <f t="shared" si="0"/>
        <v/>
      </c>
    </row>
    <row r="71" spans="5:5">
      <c r="E71" s="32" t="str">
        <f t="shared" si="0"/>
        <v/>
      </c>
    </row>
    <row r="72" spans="5:5">
      <c r="E72" s="32" t="str">
        <f t="shared" si="0"/>
        <v/>
      </c>
    </row>
    <row r="73" spans="5:5">
      <c r="E73" s="32" t="str">
        <f t="shared" si="0"/>
        <v/>
      </c>
    </row>
    <row r="74" spans="5:5">
      <c r="E74" s="32" t="str">
        <f t="shared" si="0"/>
        <v/>
      </c>
    </row>
  </sheetData>
  <sheetProtection algorithmName="SHA-512" hashValue="BftAmU5UFoDUzjLw2GjMxFmz8J7E/WRYmnWvuUls0IQvXy+OmWhviyfYyqdoHbHg+72I1Y0H76fa4i3hv9xzAg==" saltValue="jmlDIkaWuhtkivToFhA66w==" spinCount="100000" sheet="1" formatColumns="0" formatRows="0" autoFilter="0"/>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5" tint="-0.249977111117893"/>
    <pageSetUpPr fitToPage="1"/>
  </sheetPr>
  <dimension ref="A1:AR39"/>
  <sheetViews>
    <sheetView showGridLines="0" workbookViewId="0"/>
  </sheetViews>
  <sheetFormatPr defaultColWidth="9.140625" defaultRowHeight="12.75"/>
  <cols>
    <col min="1" max="1" width="16.140625" style="5" customWidth="1"/>
    <col min="2" max="3" width="37.7109375" style="5" customWidth="1"/>
    <col min="4" max="4" width="37.7109375" style="3" customWidth="1"/>
    <col min="5" max="26" width="9.140625" style="5" customWidth="1"/>
    <col min="27" max="38" width="9.140625" style="5" hidden="1" customWidth="1"/>
    <col min="39" max="45" width="9.140625" style="5" customWidth="1"/>
    <col min="46" max="16384" width="9.140625" style="5"/>
  </cols>
  <sheetData>
    <row r="1" spans="1:44" s="94" customFormat="1" ht="21.95" customHeight="1">
      <c r="A1" s="762" t="s">
        <v>48</v>
      </c>
      <c r="B1" s="767"/>
      <c r="C1" s="767"/>
      <c r="D1" s="92"/>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c r="AL1" s="767"/>
      <c r="AM1" s="767"/>
      <c r="AN1" s="767"/>
      <c r="AO1" s="767"/>
      <c r="AP1" s="767"/>
      <c r="AQ1" s="767"/>
      <c r="AR1" s="767"/>
    </row>
    <row r="2" spans="1:44" s="3" customFormat="1" ht="15" customHeight="1">
      <c r="A2" s="774"/>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784"/>
      <c r="AR2" s="784"/>
    </row>
    <row r="3" spans="1:44" s="3" customFormat="1" ht="15" customHeight="1">
      <c r="A3" s="911"/>
      <c r="B3" s="865"/>
      <c r="C3" s="863"/>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t="s">
        <v>391</v>
      </c>
      <c r="AH3" s="784"/>
      <c r="AI3" s="784"/>
      <c r="AJ3" s="784"/>
      <c r="AK3" s="784"/>
      <c r="AL3" s="784"/>
      <c r="AM3" s="784"/>
      <c r="AN3" s="784"/>
      <c r="AO3" s="784"/>
      <c r="AP3" s="784"/>
      <c r="AQ3" s="784"/>
      <c r="AR3" s="784"/>
    </row>
    <row r="4" spans="1:44" ht="33" customHeight="1" thickBot="1">
      <c r="A4" s="763"/>
      <c r="B4" s="763"/>
      <c r="C4" s="65" t="s">
        <v>392</v>
      </c>
      <c r="D4" s="763"/>
      <c r="E4" s="763"/>
      <c r="F4" s="763"/>
      <c r="G4" s="763"/>
      <c r="H4" s="763"/>
      <c r="I4" s="763"/>
      <c r="J4" s="763"/>
      <c r="K4" s="763"/>
      <c r="L4" s="763"/>
      <c r="M4" s="763"/>
      <c r="N4" s="763"/>
      <c r="O4" s="763"/>
      <c r="P4" s="763"/>
      <c r="Q4" s="763"/>
      <c r="R4" s="763"/>
      <c r="S4" s="763"/>
      <c r="T4" s="763"/>
      <c r="U4" s="763"/>
      <c r="V4" s="763"/>
      <c r="W4" s="763"/>
      <c r="X4" s="763"/>
      <c r="Y4" s="763"/>
      <c r="Z4" s="763"/>
      <c r="AA4" s="763"/>
      <c r="AB4" s="763"/>
      <c r="AC4" s="763"/>
      <c r="AD4" s="763"/>
      <c r="AE4" s="763"/>
      <c r="AF4" s="763"/>
      <c r="AG4" s="763" t="s">
        <v>393</v>
      </c>
      <c r="AH4" s="763"/>
      <c r="AI4" s="763"/>
      <c r="AJ4" s="763"/>
      <c r="AK4" s="763"/>
      <c r="AL4" s="763"/>
      <c r="AM4" s="763"/>
      <c r="AN4" s="763"/>
      <c r="AO4" s="763"/>
      <c r="AP4" s="763"/>
      <c r="AQ4" s="763"/>
      <c r="AR4" s="763"/>
    </row>
    <row r="5" spans="1:44" ht="21.95" customHeight="1" thickBot="1">
      <c r="A5" s="114" t="s">
        <v>394</v>
      </c>
      <c r="B5" s="379"/>
      <c r="C5" s="114" t="s">
        <v>395</v>
      </c>
      <c r="D5" s="379"/>
      <c r="E5" s="763"/>
      <c r="F5" s="763"/>
      <c r="G5" s="763"/>
      <c r="H5" s="763"/>
      <c r="I5" s="763"/>
      <c r="J5" s="763"/>
      <c r="K5" s="763"/>
      <c r="L5" s="763"/>
      <c r="M5" s="763"/>
      <c r="N5" s="763"/>
      <c r="O5" s="763"/>
      <c r="P5" s="763"/>
      <c r="Q5" s="763"/>
      <c r="R5" s="763"/>
      <c r="S5" s="763"/>
      <c r="T5" s="763"/>
      <c r="U5" s="763"/>
      <c r="V5" s="763"/>
      <c r="W5" s="763"/>
      <c r="X5" s="763"/>
      <c r="Y5" s="763"/>
      <c r="Z5" s="763"/>
      <c r="AA5" s="763"/>
      <c r="AB5" s="763"/>
      <c r="AC5" s="763"/>
      <c r="AD5" s="763"/>
      <c r="AE5" s="763"/>
      <c r="AF5" s="763"/>
      <c r="AG5" s="763"/>
      <c r="AH5" s="763"/>
      <c r="AI5" s="763"/>
      <c r="AJ5" s="763"/>
      <c r="AK5" s="763"/>
      <c r="AL5" s="763"/>
      <c r="AM5" s="763"/>
      <c r="AN5" s="763"/>
      <c r="AO5" s="763"/>
      <c r="AP5" s="763"/>
      <c r="AQ5" s="763"/>
      <c r="AR5" s="763"/>
    </row>
    <row r="6" spans="1:44" ht="18" customHeight="1" thickBot="1">
      <c r="A6" s="176"/>
      <c r="B6" s="92"/>
      <c r="C6" s="92"/>
      <c r="D6" s="92"/>
      <c r="E6" s="763"/>
      <c r="F6" s="763"/>
      <c r="G6" s="763"/>
      <c r="H6" s="763"/>
      <c r="I6" s="763"/>
      <c r="J6" s="763"/>
      <c r="K6" s="763"/>
      <c r="L6" s="763"/>
      <c r="M6" s="763"/>
      <c r="N6" s="763"/>
      <c r="O6" s="763"/>
      <c r="P6" s="763"/>
      <c r="Q6" s="763"/>
      <c r="R6" s="763"/>
      <c r="S6" s="763"/>
      <c r="T6" s="763"/>
      <c r="U6" s="763"/>
      <c r="V6" s="763"/>
      <c r="W6" s="763"/>
      <c r="X6" s="763"/>
      <c r="Y6" s="763"/>
      <c r="Z6" s="763"/>
      <c r="AA6" s="763"/>
      <c r="AB6" s="6"/>
      <c r="AC6" s="6"/>
      <c r="AD6" s="6"/>
      <c r="AE6" s="7" t="s">
        <v>396</v>
      </c>
      <c r="AF6" s="763"/>
      <c r="AG6" s="763"/>
      <c r="AH6" s="6"/>
      <c r="AI6" s="6"/>
      <c r="AJ6" s="6"/>
      <c r="AK6" s="6"/>
      <c r="AL6" s="6"/>
      <c r="AM6" s="6"/>
      <c r="AN6" s="6"/>
      <c r="AO6" s="6"/>
      <c r="AP6" s="6"/>
      <c r="AQ6" s="6"/>
      <c r="AR6" s="6"/>
    </row>
    <row r="7" spans="1:44" ht="21.95" customHeight="1" thickBot="1">
      <c r="A7" s="1201" t="s">
        <v>397</v>
      </c>
      <c r="B7" s="379"/>
      <c r="C7" s="379"/>
      <c r="D7" s="379"/>
      <c r="E7" s="763"/>
      <c r="F7" s="763"/>
      <c r="G7" s="763"/>
      <c r="H7" s="763"/>
      <c r="I7" s="763"/>
      <c r="J7" s="763"/>
      <c r="K7" s="763"/>
      <c r="L7" s="763"/>
      <c r="M7" s="763"/>
      <c r="N7" s="763"/>
      <c r="O7" s="763"/>
      <c r="P7" s="763"/>
      <c r="Q7" s="763"/>
      <c r="R7" s="763"/>
      <c r="S7" s="763"/>
      <c r="T7" s="763"/>
      <c r="U7" s="763"/>
      <c r="V7" s="763"/>
      <c r="W7" s="763"/>
      <c r="X7" s="763"/>
      <c r="Y7" s="763"/>
      <c r="Z7" s="763"/>
      <c r="AA7" s="6" t="s">
        <v>398</v>
      </c>
      <c r="AB7" s="6"/>
      <c r="AC7" s="6"/>
      <c r="AD7" s="6"/>
      <c r="AE7" s="7" t="s">
        <v>399</v>
      </c>
      <c r="AF7" s="7"/>
      <c r="AG7" s="6"/>
      <c r="AH7" s="6"/>
      <c r="AI7" s="6"/>
      <c r="AJ7" s="6"/>
      <c r="AK7" s="6"/>
      <c r="AL7" s="6"/>
      <c r="AM7" s="6"/>
      <c r="AN7" s="6"/>
      <c r="AO7" s="6"/>
      <c r="AP7" s="6"/>
      <c r="AQ7" s="6"/>
      <c r="AR7" s="6"/>
    </row>
    <row r="8" spans="1:44" ht="21.95" customHeight="1" thickBot="1">
      <c r="A8" s="115"/>
      <c r="B8" s="109" t="s">
        <v>91</v>
      </c>
      <c r="C8" s="767"/>
      <c r="D8" s="111"/>
      <c r="E8" s="763"/>
      <c r="F8" s="763"/>
      <c r="G8" s="763"/>
      <c r="H8" s="763"/>
      <c r="I8" s="763"/>
      <c r="J8" s="763"/>
      <c r="K8" s="763"/>
      <c r="L8" s="763"/>
      <c r="M8" s="763"/>
      <c r="N8" s="763"/>
      <c r="O8" s="763"/>
      <c r="P8" s="763"/>
      <c r="Q8" s="763"/>
      <c r="R8" s="763"/>
      <c r="S8" s="763"/>
      <c r="T8" s="763"/>
      <c r="U8" s="763"/>
      <c r="V8" s="763"/>
      <c r="W8" s="763"/>
      <c r="X8" s="763"/>
      <c r="Y8" s="763"/>
      <c r="Z8" s="763"/>
      <c r="AA8" s="6" t="s">
        <v>400</v>
      </c>
      <c r="AB8" s="6"/>
      <c r="AC8" s="6"/>
      <c r="AD8" s="6"/>
      <c r="AE8" s="7" t="s">
        <v>401</v>
      </c>
      <c r="AF8" s="39"/>
      <c r="AG8" s="6"/>
      <c r="AH8" s="7" t="s">
        <v>32</v>
      </c>
      <c r="AI8" s="6"/>
      <c r="AJ8" s="6"/>
      <c r="AK8" s="7" t="s">
        <v>402</v>
      </c>
      <c r="AL8" s="6"/>
      <c r="AM8" s="6"/>
      <c r="AN8" s="6"/>
      <c r="AO8" s="6"/>
      <c r="AP8" s="6"/>
      <c r="AQ8" s="6"/>
      <c r="AR8" s="6"/>
    </row>
    <row r="9" spans="1:44" ht="44.1" customHeight="1" thickBot="1">
      <c r="A9" s="115"/>
      <c r="B9" s="908"/>
      <c r="C9" s="909"/>
      <c r="D9" s="910"/>
      <c r="E9" s="763"/>
      <c r="F9" s="763"/>
      <c r="G9" s="763"/>
      <c r="H9" s="763"/>
      <c r="I9" s="763"/>
      <c r="J9" s="763"/>
      <c r="K9" s="763"/>
      <c r="L9" s="763"/>
      <c r="M9" s="763"/>
      <c r="N9" s="763"/>
      <c r="O9" s="763"/>
      <c r="P9" s="763"/>
      <c r="Q9" s="763"/>
      <c r="R9" s="763"/>
      <c r="S9" s="763"/>
      <c r="T9" s="763"/>
      <c r="U9" s="763"/>
      <c r="V9" s="763"/>
      <c r="W9" s="763"/>
      <c r="X9" s="763"/>
      <c r="Y9" s="763"/>
      <c r="Z9" s="763"/>
      <c r="AA9" s="6" t="s">
        <v>403</v>
      </c>
      <c r="AB9" s="39"/>
      <c r="AC9" s="39"/>
      <c r="AD9" s="39"/>
      <c r="AE9" s="7" t="s">
        <v>404</v>
      </c>
      <c r="AF9" s="40"/>
      <c r="AG9" s="39"/>
      <c r="AH9" s="763"/>
      <c r="AI9" s="39"/>
      <c r="AJ9" s="39"/>
      <c r="AK9" s="7" t="s">
        <v>405</v>
      </c>
      <c r="AL9" s="39"/>
      <c r="AM9" s="7"/>
      <c r="AN9" s="7"/>
      <c r="AO9" s="39"/>
      <c r="AP9" s="39"/>
      <c r="AQ9" s="39"/>
      <c r="AR9" s="39"/>
    </row>
    <row r="10" spans="1:44" ht="21.95" customHeight="1" thickBot="1">
      <c r="A10" s="116"/>
      <c r="B10" s="112"/>
      <c r="C10" s="112"/>
      <c r="D10" s="113"/>
      <c r="E10" s="763"/>
      <c r="F10" s="763"/>
      <c r="G10" s="763"/>
      <c r="H10" s="763"/>
      <c r="I10" s="763"/>
      <c r="J10" s="763"/>
      <c r="K10" s="763"/>
      <c r="L10" s="763"/>
      <c r="M10" s="763"/>
      <c r="N10" s="763"/>
      <c r="O10" s="763"/>
      <c r="P10" s="763"/>
      <c r="Q10" s="763"/>
      <c r="R10" s="763"/>
      <c r="S10" s="763"/>
      <c r="T10" s="763"/>
      <c r="U10" s="763"/>
      <c r="V10" s="763"/>
      <c r="W10" s="763"/>
      <c r="X10" s="763"/>
      <c r="Y10" s="763"/>
      <c r="Z10" s="763"/>
      <c r="AA10" s="763"/>
      <c r="AB10" s="6"/>
      <c r="AC10" s="6"/>
      <c r="AD10" s="6"/>
      <c r="AE10" s="7" t="s">
        <v>406</v>
      </c>
      <c r="AF10" s="763"/>
      <c r="AG10" s="6"/>
      <c r="AH10" s="763"/>
      <c r="AI10" s="6"/>
      <c r="AJ10" s="6"/>
      <c r="AK10" s="7" t="s">
        <v>407</v>
      </c>
      <c r="AL10" s="6"/>
      <c r="AM10" s="6"/>
      <c r="AN10" s="6"/>
      <c r="AO10" s="6"/>
      <c r="AP10" s="6"/>
      <c r="AQ10" s="6"/>
      <c r="AR10" s="6"/>
    </row>
    <row r="11" spans="1:44" ht="21.95" customHeight="1" thickBot="1">
      <c r="A11" s="1201" t="s">
        <v>408</v>
      </c>
      <c r="B11" s="379"/>
      <c r="C11" s="379"/>
      <c r="D11" s="379"/>
      <c r="E11" s="763"/>
      <c r="F11" s="763"/>
      <c r="G11" s="763"/>
      <c r="H11" s="763"/>
      <c r="I11" s="763"/>
      <c r="J11" s="763"/>
      <c r="K11" s="763"/>
      <c r="L11" s="763"/>
      <c r="M11" s="763"/>
      <c r="N11" s="763"/>
      <c r="O11" s="763"/>
      <c r="P11" s="763"/>
      <c r="Q11" s="763"/>
      <c r="R11" s="763"/>
      <c r="S11" s="763"/>
      <c r="T11" s="763"/>
      <c r="U11" s="763"/>
      <c r="V11" s="763"/>
      <c r="W11" s="763"/>
      <c r="X11" s="763"/>
      <c r="Y11" s="763"/>
      <c r="Z11" s="763"/>
      <c r="AA11" s="763"/>
      <c r="AB11" s="6"/>
      <c r="AC11" s="6"/>
      <c r="AD11" s="6"/>
      <c r="AE11" s="7" t="s">
        <v>409</v>
      </c>
      <c r="AF11" s="40"/>
      <c r="AG11" s="6"/>
      <c r="AH11" s="763"/>
      <c r="AI11" s="6"/>
      <c r="AJ11" s="6"/>
      <c r="AK11" s="7" t="s">
        <v>410</v>
      </c>
      <c r="AL11" s="6"/>
      <c r="AM11" s="6"/>
      <c r="AN11" s="6"/>
      <c r="AO11" s="6"/>
      <c r="AP11" s="6"/>
      <c r="AQ11" s="6"/>
      <c r="AR11" s="6"/>
    </row>
    <row r="12" spans="1:44" ht="21.95" customHeight="1" thickBot="1">
      <c r="A12" s="115"/>
      <c r="B12" s="109" t="s">
        <v>91</v>
      </c>
      <c r="C12" s="767"/>
      <c r="D12" s="111"/>
      <c r="E12" s="763"/>
      <c r="F12" s="763"/>
      <c r="G12" s="763"/>
      <c r="H12" s="763"/>
      <c r="I12" s="763"/>
      <c r="J12" s="763"/>
      <c r="K12" s="763"/>
      <c r="L12" s="763"/>
      <c r="M12" s="763"/>
      <c r="N12" s="763"/>
      <c r="O12" s="763"/>
      <c r="P12" s="763"/>
      <c r="Q12" s="763"/>
      <c r="R12" s="763"/>
      <c r="S12" s="763"/>
      <c r="T12" s="763"/>
      <c r="U12" s="763"/>
      <c r="V12" s="763"/>
      <c r="W12" s="763"/>
      <c r="X12" s="763"/>
      <c r="Y12" s="763"/>
      <c r="Z12" s="763"/>
      <c r="AA12" s="763"/>
      <c r="AB12" s="39"/>
      <c r="AC12" s="39"/>
      <c r="AD12" s="39"/>
      <c r="AE12" s="7" t="s">
        <v>411</v>
      </c>
      <c r="AF12" s="7"/>
      <c r="AG12" s="39"/>
      <c r="AH12" s="763"/>
      <c r="AI12" s="39"/>
      <c r="AJ12" s="39"/>
      <c r="AK12" s="7" t="s">
        <v>412</v>
      </c>
      <c r="AL12" s="39"/>
      <c r="AM12" s="39"/>
      <c r="AN12" s="39"/>
      <c r="AO12" s="39"/>
      <c r="AP12" s="39"/>
      <c r="AQ12" s="39"/>
      <c r="AR12" s="39"/>
    </row>
    <row r="13" spans="1:44" ht="44.1" customHeight="1" thickBot="1">
      <c r="A13" s="115"/>
      <c r="B13" s="908"/>
      <c r="C13" s="909"/>
      <c r="D13" s="910"/>
      <c r="E13" s="763"/>
      <c r="F13" s="763"/>
      <c r="G13" s="763"/>
      <c r="H13" s="763"/>
      <c r="I13" s="763"/>
      <c r="J13" s="763"/>
      <c r="K13" s="763"/>
      <c r="L13" s="763"/>
      <c r="M13" s="763"/>
      <c r="N13" s="763"/>
      <c r="O13" s="763"/>
      <c r="P13" s="763"/>
      <c r="Q13" s="763"/>
      <c r="R13" s="763"/>
      <c r="S13" s="763"/>
      <c r="T13" s="763"/>
      <c r="U13" s="763"/>
      <c r="V13" s="763"/>
      <c r="W13" s="763"/>
      <c r="X13" s="763"/>
      <c r="Y13" s="763"/>
      <c r="Z13" s="763"/>
      <c r="AA13" s="763"/>
      <c r="AB13" s="6"/>
      <c r="AC13" s="6"/>
      <c r="AD13" s="6"/>
      <c r="AE13" s="7" t="s">
        <v>413</v>
      </c>
      <c r="AF13" s="7"/>
      <c r="AG13" s="6"/>
      <c r="AH13" s="7" t="s">
        <v>402</v>
      </c>
      <c r="AI13" s="6"/>
      <c r="AJ13" s="6"/>
      <c r="AK13" s="7" t="s">
        <v>414</v>
      </c>
      <c r="AL13" s="6"/>
      <c r="AM13" s="6"/>
      <c r="AN13" s="6"/>
      <c r="AO13" s="6"/>
      <c r="AP13" s="6"/>
      <c r="AQ13" s="6"/>
      <c r="AR13" s="6"/>
    </row>
    <row r="14" spans="1:44" ht="21.95" customHeight="1" thickBot="1">
      <c r="A14" s="116"/>
      <c r="B14" s="112"/>
      <c r="C14" s="112"/>
      <c r="D14" s="11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6"/>
      <c r="AC14" s="6"/>
      <c r="AD14" s="6"/>
      <c r="AE14" s="763"/>
      <c r="AF14" s="6"/>
      <c r="AG14" s="6"/>
      <c r="AH14" s="7" t="s">
        <v>415</v>
      </c>
      <c r="AI14" s="6"/>
      <c r="AJ14" s="6"/>
      <c r="AK14" s="6"/>
      <c r="AL14" s="6"/>
      <c r="AM14" s="6"/>
      <c r="AN14" s="6"/>
      <c r="AO14" s="6"/>
      <c r="AP14" s="6"/>
      <c r="AQ14" s="6"/>
      <c r="AR14" s="6"/>
    </row>
    <row r="15" spans="1:44" ht="21.95" customHeight="1" thickBot="1">
      <c r="A15" s="1201" t="s">
        <v>416</v>
      </c>
      <c r="B15" s="379"/>
      <c r="C15" s="379"/>
      <c r="D15" s="379"/>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6"/>
      <c r="AC15" s="6"/>
      <c r="AD15" s="6"/>
      <c r="AE15" s="763"/>
      <c r="AF15" s="6"/>
      <c r="AG15" s="6"/>
      <c r="AH15" s="7" t="s">
        <v>417</v>
      </c>
      <c r="AI15" s="6"/>
      <c r="AJ15" s="6"/>
      <c r="AK15" s="6"/>
      <c r="AL15" s="6"/>
      <c r="AM15" s="6"/>
      <c r="AN15" s="6"/>
      <c r="AO15" s="6"/>
      <c r="AP15" s="6"/>
      <c r="AQ15" s="6"/>
      <c r="AR15" s="6"/>
    </row>
    <row r="16" spans="1:44" ht="21.95" customHeight="1" thickBot="1">
      <c r="A16" s="115"/>
      <c r="B16" s="109" t="s">
        <v>91</v>
      </c>
      <c r="C16" s="767"/>
      <c r="D16" s="111"/>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6"/>
      <c r="AC16" s="6"/>
      <c r="AD16" s="6"/>
      <c r="AE16" s="763"/>
      <c r="AF16" s="6"/>
      <c r="AG16" s="763"/>
      <c r="AH16" s="7" t="s">
        <v>418</v>
      </c>
      <c r="AI16" s="6"/>
      <c r="AJ16" s="6"/>
      <c r="AK16" s="6"/>
      <c r="AL16" s="6"/>
      <c r="AM16" s="6"/>
      <c r="AN16" s="6"/>
      <c r="AO16" s="6"/>
      <c r="AP16" s="6"/>
      <c r="AQ16" s="6"/>
      <c r="AR16" s="6"/>
    </row>
    <row r="17" spans="1:44" ht="44.1" customHeight="1" thickBot="1">
      <c r="A17" s="115"/>
      <c r="B17" s="908"/>
      <c r="C17" s="909"/>
      <c r="D17" s="910"/>
      <c r="E17" s="763"/>
      <c r="F17" s="763"/>
      <c r="G17" s="763"/>
      <c r="H17" s="763"/>
      <c r="I17" s="763"/>
      <c r="J17" s="763"/>
      <c r="K17" s="763"/>
      <c r="L17" s="763"/>
      <c r="M17" s="763"/>
      <c r="N17" s="763"/>
      <c r="O17" s="763"/>
      <c r="P17" s="763"/>
      <c r="Q17" s="763"/>
      <c r="R17" s="763"/>
      <c r="S17" s="763"/>
      <c r="T17" s="763"/>
      <c r="U17" s="763"/>
      <c r="V17" s="763"/>
      <c r="W17" s="763"/>
      <c r="X17" s="763"/>
      <c r="Y17" s="763"/>
      <c r="Z17" s="763"/>
      <c r="AA17" s="763"/>
      <c r="AB17" s="6"/>
      <c r="AC17" s="6"/>
      <c r="AD17" s="6"/>
      <c r="AE17" s="763"/>
      <c r="AF17" s="6"/>
      <c r="AG17" s="763"/>
      <c r="AH17" s="7" t="s">
        <v>419</v>
      </c>
      <c r="AI17" s="6"/>
      <c r="AJ17" s="6"/>
      <c r="AK17" s="6"/>
      <c r="AL17" s="6"/>
      <c r="AM17" s="6"/>
      <c r="AN17" s="6"/>
      <c r="AO17" s="6"/>
      <c r="AP17" s="6"/>
      <c r="AQ17" s="6"/>
      <c r="AR17" s="6"/>
    </row>
    <row r="18" spans="1:44" ht="21.95" customHeight="1" thickBot="1">
      <c r="A18" s="116"/>
      <c r="B18" s="112"/>
      <c r="C18" s="112"/>
      <c r="D18" s="113"/>
      <c r="E18" s="763"/>
      <c r="F18" s="763"/>
      <c r="G18" s="763"/>
      <c r="H18" s="763"/>
      <c r="I18" s="763"/>
      <c r="J18" s="763"/>
      <c r="K18" s="763"/>
      <c r="L18" s="763"/>
      <c r="M18" s="763"/>
      <c r="N18" s="763"/>
      <c r="O18" s="763"/>
      <c r="P18" s="763"/>
      <c r="Q18" s="763"/>
      <c r="R18" s="763"/>
      <c r="S18" s="763"/>
      <c r="T18" s="763"/>
      <c r="U18" s="763"/>
      <c r="V18" s="763"/>
      <c r="W18" s="763"/>
      <c r="X18" s="763"/>
      <c r="Y18" s="763"/>
      <c r="Z18" s="763"/>
      <c r="AA18" s="763"/>
      <c r="AB18" s="6"/>
      <c r="AC18" s="6"/>
      <c r="AD18" s="6"/>
      <c r="AE18" s="6"/>
      <c r="AF18" s="6"/>
      <c r="AG18" s="763"/>
      <c r="AH18" s="7" t="s">
        <v>420</v>
      </c>
      <c r="AI18" s="6"/>
      <c r="AJ18" s="6"/>
      <c r="AK18" s="759"/>
      <c r="AL18" s="6"/>
      <c r="AM18" s="6"/>
      <c r="AN18" s="6"/>
      <c r="AO18" s="6"/>
      <c r="AP18" s="6"/>
      <c r="AQ18" s="6"/>
      <c r="AR18" s="6"/>
    </row>
    <row r="19" spans="1:44" ht="21.95" customHeight="1" thickBot="1">
      <c r="A19" s="1201" t="s">
        <v>421</v>
      </c>
      <c r="B19" s="379"/>
      <c r="C19" s="379"/>
      <c r="D19" s="379"/>
      <c r="E19" s="763"/>
      <c r="F19" s="763"/>
      <c r="G19" s="763"/>
      <c r="H19" s="763"/>
      <c r="I19" s="763"/>
      <c r="J19" s="763"/>
      <c r="K19" s="763"/>
      <c r="L19" s="763"/>
      <c r="M19" s="763"/>
      <c r="N19" s="763"/>
      <c r="O19" s="763"/>
      <c r="P19" s="763"/>
      <c r="Q19" s="763"/>
      <c r="R19" s="763"/>
      <c r="S19" s="763"/>
      <c r="T19" s="763"/>
      <c r="U19" s="763"/>
      <c r="V19" s="763"/>
      <c r="W19" s="763"/>
      <c r="X19" s="763"/>
      <c r="Y19" s="763"/>
      <c r="Z19" s="763"/>
      <c r="AA19" s="763"/>
      <c r="AB19" s="6"/>
      <c r="AC19" s="6"/>
      <c r="AD19" s="6"/>
      <c r="AE19" s="6"/>
      <c r="AF19" s="6"/>
      <c r="AG19" s="763"/>
      <c r="AH19" s="7"/>
      <c r="AI19" s="6"/>
      <c r="AJ19" s="6"/>
      <c r="AK19" s="41" t="s">
        <v>402</v>
      </c>
      <c r="AL19" s="6"/>
      <c r="AM19" s="6"/>
      <c r="AN19" s="6"/>
      <c r="AO19" s="6"/>
      <c r="AP19" s="6"/>
      <c r="AQ19" s="6"/>
      <c r="AR19" s="6"/>
    </row>
    <row r="20" spans="1:44" ht="21.95" customHeight="1" thickBot="1">
      <c r="A20" s="115"/>
      <c r="B20" s="109" t="s">
        <v>91</v>
      </c>
      <c r="C20" s="767"/>
      <c r="D20" s="111"/>
      <c r="E20" s="763"/>
      <c r="F20" s="763"/>
      <c r="G20" s="763"/>
      <c r="H20" s="763"/>
      <c r="I20" s="763"/>
      <c r="J20" s="763"/>
      <c r="K20" s="763"/>
      <c r="L20" s="763"/>
      <c r="M20" s="763"/>
      <c r="N20" s="763"/>
      <c r="O20" s="763"/>
      <c r="P20" s="763"/>
      <c r="Q20" s="763"/>
      <c r="R20" s="763"/>
      <c r="S20" s="763"/>
      <c r="T20" s="763"/>
      <c r="U20" s="763"/>
      <c r="V20" s="763"/>
      <c r="W20" s="763"/>
      <c r="X20" s="763"/>
      <c r="Y20" s="763"/>
      <c r="Z20" s="763"/>
      <c r="AA20" s="763"/>
      <c r="AB20" s="6"/>
      <c r="AC20" s="6"/>
      <c r="AD20" s="6"/>
      <c r="AE20" s="6"/>
      <c r="AF20" s="6"/>
      <c r="AG20" s="763"/>
      <c r="AH20" s="7"/>
      <c r="AI20" s="6"/>
      <c r="AJ20" s="6"/>
      <c r="AK20" s="41" t="s">
        <v>405</v>
      </c>
      <c r="AL20" s="6"/>
      <c r="AM20" s="6"/>
      <c r="AN20" s="6"/>
      <c r="AO20" s="6"/>
      <c r="AP20" s="6"/>
      <c r="AQ20" s="6"/>
      <c r="AR20" s="6"/>
    </row>
    <row r="21" spans="1:44" ht="44.1" customHeight="1" thickBot="1">
      <c r="A21" s="115"/>
      <c r="B21" s="908"/>
      <c r="C21" s="909"/>
      <c r="D21" s="910"/>
      <c r="E21" s="763"/>
      <c r="F21" s="763"/>
      <c r="G21" s="763"/>
      <c r="H21" s="763"/>
      <c r="I21" s="763"/>
      <c r="J21" s="763"/>
      <c r="K21" s="763"/>
      <c r="L21" s="763"/>
      <c r="M21" s="763"/>
      <c r="N21" s="763"/>
      <c r="O21" s="763"/>
      <c r="P21" s="763"/>
      <c r="Q21" s="763"/>
      <c r="R21" s="763"/>
      <c r="S21" s="763"/>
      <c r="T21" s="763"/>
      <c r="U21" s="763"/>
      <c r="V21" s="763"/>
      <c r="W21" s="763"/>
      <c r="X21" s="763"/>
      <c r="Y21" s="763"/>
      <c r="Z21" s="763"/>
      <c r="AA21" s="763"/>
      <c r="AB21" s="6"/>
      <c r="AC21" s="6"/>
      <c r="AD21" s="6"/>
      <c r="AE21" s="763"/>
      <c r="AF21" s="6"/>
      <c r="AG21" s="763"/>
      <c r="AH21" s="7" t="s">
        <v>402</v>
      </c>
      <c r="AI21" s="6"/>
      <c r="AJ21" s="6"/>
      <c r="AK21" s="41" t="s">
        <v>422</v>
      </c>
      <c r="AL21" s="6"/>
      <c r="AM21" s="6"/>
      <c r="AN21" s="6"/>
      <c r="AO21" s="6"/>
      <c r="AP21" s="6"/>
      <c r="AQ21" s="6"/>
      <c r="AR21" s="6"/>
    </row>
    <row r="22" spans="1:44" ht="21.95" customHeight="1">
      <c r="A22" s="116"/>
      <c r="B22" s="175"/>
      <c r="C22" s="61"/>
      <c r="D22" s="62"/>
      <c r="E22" s="763"/>
      <c r="F22" s="763"/>
      <c r="G22" s="763"/>
      <c r="H22" s="763"/>
      <c r="I22" s="763"/>
      <c r="J22" s="763"/>
      <c r="K22" s="763"/>
      <c r="L22" s="763"/>
      <c r="M22" s="763"/>
      <c r="N22" s="763"/>
      <c r="O22" s="763"/>
      <c r="P22" s="763"/>
      <c r="Q22" s="763"/>
      <c r="R22" s="763"/>
      <c r="S22" s="763"/>
      <c r="T22" s="763"/>
      <c r="U22" s="763"/>
      <c r="V22" s="763"/>
      <c r="W22" s="763"/>
      <c r="X22" s="763"/>
      <c r="Y22" s="763"/>
      <c r="Z22" s="763"/>
      <c r="AA22" s="763"/>
      <c r="AB22" s="6"/>
      <c r="AC22" s="6"/>
      <c r="AD22" s="6"/>
      <c r="AE22" s="763"/>
      <c r="AF22" s="6"/>
      <c r="AG22" s="763"/>
      <c r="AH22" s="7" t="s">
        <v>405</v>
      </c>
      <c r="AI22" s="6"/>
      <c r="AJ22" s="6"/>
      <c r="AK22" s="7" t="s">
        <v>423</v>
      </c>
      <c r="AL22" s="6"/>
      <c r="AM22" s="6"/>
      <c r="AN22" s="6"/>
      <c r="AO22" s="6"/>
      <c r="AP22" s="6"/>
      <c r="AQ22" s="6"/>
      <c r="AR22" s="6"/>
    </row>
    <row r="23" spans="1:44" ht="21.95" customHeight="1" thickBot="1">
      <c r="A23" s="1202" t="s">
        <v>424</v>
      </c>
      <c r="B23" s="733"/>
      <c r="C23" s="733"/>
      <c r="D23" s="1173"/>
      <c r="E23" s="763"/>
      <c r="F23" s="763"/>
      <c r="G23" s="763"/>
      <c r="H23" s="763"/>
      <c r="I23" s="763"/>
      <c r="J23" s="763"/>
      <c r="K23" s="763"/>
      <c r="L23" s="763"/>
      <c r="M23" s="763"/>
      <c r="N23" s="763"/>
      <c r="O23" s="763"/>
      <c r="P23" s="763"/>
      <c r="Q23" s="763"/>
      <c r="R23" s="763"/>
      <c r="S23" s="763"/>
      <c r="T23" s="763"/>
      <c r="U23" s="763"/>
      <c r="V23" s="763"/>
      <c r="W23" s="763"/>
      <c r="X23" s="763"/>
      <c r="Y23" s="763"/>
      <c r="Z23" s="763"/>
      <c r="AA23" s="763"/>
      <c r="AB23" s="6"/>
      <c r="AC23" s="6"/>
      <c r="AD23" s="6"/>
      <c r="AE23" s="763"/>
      <c r="AF23" s="7"/>
      <c r="AG23" s="6"/>
      <c r="AH23" s="7"/>
      <c r="AI23" s="6"/>
      <c r="AJ23" s="6"/>
      <c r="AK23" s="7" t="s">
        <v>425</v>
      </c>
      <c r="AL23" s="6"/>
      <c r="AM23" s="6"/>
      <c r="AN23" s="6"/>
      <c r="AO23" s="6"/>
      <c r="AP23" s="6"/>
      <c r="AQ23" s="6"/>
      <c r="AR23" s="6"/>
    </row>
    <row r="24" spans="1:44" ht="21.95" customHeight="1" thickBot="1">
      <c r="A24" s="115"/>
      <c r="B24" s="379"/>
      <c r="C24" s="379"/>
      <c r="D24" s="379"/>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6"/>
      <c r="AC24" s="6"/>
      <c r="AD24" s="6"/>
      <c r="AE24" s="763"/>
      <c r="AF24" s="7"/>
      <c r="AG24" s="6"/>
      <c r="AH24" s="6"/>
      <c r="AI24" s="6"/>
      <c r="AJ24" s="6"/>
      <c r="AK24" s="7" t="s">
        <v>428</v>
      </c>
      <c r="AL24" s="6"/>
      <c r="AM24" s="6"/>
      <c r="AN24" s="6"/>
      <c r="AO24" s="6"/>
      <c r="AP24" s="6"/>
      <c r="AQ24" s="6"/>
      <c r="AR24" s="6"/>
    </row>
    <row r="25" spans="1:44" ht="21.95" customHeight="1" thickBot="1">
      <c r="A25" s="115"/>
      <c r="B25" s="109" t="s">
        <v>91</v>
      </c>
      <c r="C25" s="767"/>
      <c r="D25" s="111"/>
      <c r="E25" s="763"/>
      <c r="F25" s="763"/>
      <c r="G25" s="763"/>
      <c r="H25" s="763"/>
      <c r="I25" s="763"/>
      <c r="J25" s="763"/>
      <c r="K25" s="763"/>
      <c r="L25" s="763"/>
      <c r="M25" s="763"/>
      <c r="N25" s="763"/>
      <c r="O25" s="763"/>
      <c r="P25" s="763"/>
      <c r="Q25" s="763"/>
      <c r="R25" s="763"/>
      <c r="S25" s="763"/>
      <c r="T25" s="763"/>
      <c r="U25" s="763"/>
      <c r="V25" s="763"/>
      <c r="W25" s="763"/>
      <c r="X25" s="763"/>
      <c r="Y25" s="763"/>
      <c r="Z25" s="763"/>
      <c r="AA25" s="763"/>
      <c r="AB25" s="6"/>
      <c r="AC25" s="6"/>
      <c r="AD25" s="6"/>
      <c r="AE25" s="763"/>
      <c r="AF25" s="7"/>
      <c r="AG25" s="7" t="s">
        <v>402</v>
      </c>
      <c r="AH25" s="6"/>
      <c r="AI25" s="6"/>
      <c r="AJ25" s="6"/>
      <c r="AK25" s="6"/>
      <c r="AL25" s="6"/>
      <c r="AM25" s="6"/>
      <c r="AN25" s="6"/>
      <c r="AO25" s="6"/>
      <c r="AP25" s="6"/>
      <c r="AQ25" s="6"/>
      <c r="AR25" s="6"/>
    </row>
    <row r="26" spans="1:44" ht="44.1" customHeight="1" thickBot="1">
      <c r="A26" s="115"/>
      <c r="B26" s="908"/>
      <c r="C26" s="909"/>
      <c r="D26" s="910"/>
      <c r="E26" s="763"/>
      <c r="F26" s="763"/>
      <c r="G26" s="763"/>
      <c r="H26" s="763"/>
      <c r="I26" s="763"/>
      <c r="J26" s="763"/>
      <c r="K26" s="763"/>
      <c r="L26" s="763"/>
      <c r="M26" s="763"/>
      <c r="N26" s="763"/>
      <c r="O26" s="763"/>
      <c r="P26" s="763"/>
      <c r="Q26" s="763"/>
      <c r="R26" s="763"/>
      <c r="S26" s="763"/>
      <c r="T26" s="763"/>
      <c r="U26" s="763"/>
      <c r="V26" s="763"/>
      <c r="W26" s="763"/>
      <c r="X26" s="763"/>
      <c r="Y26" s="763"/>
      <c r="Z26" s="763"/>
      <c r="AA26" s="763"/>
      <c r="AB26" s="6"/>
      <c r="AC26" s="6"/>
      <c r="AD26" s="6"/>
      <c r="AE26" s="7"/>
      <c r="AF26" s="7"/>
      <c r="AG26" s="7" t="s">
        <v>405</v>
      </c>
      <c r="AH26" s="6"/>
      <c r="AI26" s="6"/>
      <c r="AJ26" s="6"/>
      <c r="AK26" s="6"/>
      <c r="AL26" s="6"/>
      <c r="AM26" s="6"/>
      <c r="AN26" s="6"/>
      <c r="AO26" s="6"/>
      <c r="AP26" s="6"/>
      <c r="AQ26" s="6"/>
      <c r="AR26" s="6"/>
    </row>
    <row r="27" spans="1:44" ht="21.95" customHeight="1">
      <c r="A27" s="116"/>
      <c r="B27" s="112"/>
      <c r="C27" s="112"/>
      <c r="D27" s="113"/>
      <c r="E27" s="763"/>
      <c r="F27" s="763"/>
      <c r="G27" s="763"/>
      <c r="H27" s="763"/>
      <c r="I27" s="763"/>
      <c r="J27" s="763"/>
      <c r="K27" s="763"/>
      <c r="L27" s="763"/>
      <c r="M27" s="763"/>
      <c r="N27" s="763"/>
      <c r="O27" s="763"/>
      <c r="P27" s="763"/>
      <c r="Q27" s="763"/>
      <c r="R27" s="763"/>
      <c r="S27" s="763"/>
      <c r="T27" s="763"/>
      <c r="U27" s="763"/>
      <c r="V27" s="763"/>
      <c r="W27" s="763"/>
      <c r="X27" s="763"/>
      <c r="Y27" s="763"/>
      <c r="Z27" s="763"/>
      <c r="AA27" s="763"/>
      <c r="AB27" s="6"/>
      <c r="AC27" s="6"/>
      <c r="AD27" s="6"/>
      <c r="AE27" s="763"/>
      <c r="AF27" s="7"/>
      <c r="AG27" s="7" t="s">
        <v>426</v>
      </c>
      <c r="AH27" s="6"/>
      <c r="AI27" s="6"/>
      <c r="AJ27" s="6"/>
      <c r="AK27" s="7"/>
      <c r="AL27" s="6"/>
      <c r="AM27" s="6"/>
      <c r="AN27" s="6"/>
      <c r="AO27" s="6"/>
      <c r="AP27" s="6"/>
      <c r="AQ27" s="6"/>
      <c r="AR27" s="6"/>
    </row>
    <row r="28" spans="1:44" ht="21.95" customHeight="1">
      <c r="A28" s="1201" t="s">
        <v>429</v>
      </c>
      <c r="B28" s="733"/>
      <c r="C28" s="733"/>
      <c r="D28" s="1173"/>
      <c r="E28" s="763"/>
      <c r="F28" s="763"/>
      <c r="G28" s="763"/>
      <c r="H28" s="763"/>
      <c r="I28" s="763"/>
      <c r="J28" s="763"/>
      <c r="K28" s="763"/>
      <c r="L28" s="763"/>
      <c r="M28" s="763"/>
      <c r="N28" s="763"/>
      <c r="O28" s="763"/>
      <c r="P28" s="763"/>
      <c r="Q28" s="763"/>
      <c r="R28" s="763"/>
      <c r="S28" s="763"/>
      <c r="T28" s="763"/>
      <c r="U28" s="763"/>
      <c r="V28" s="763"/>
      <c r="W28" s="763"/>
      <c r="X28" s="763"/>
      <c r="Y28" s="763"/>
      <c r="Z28" s="763"/>
      <c r="AA28" s="763"/>
      <c r="AB28" s="6"/>
      <c r="AC28" s="6"/>
      <c r="AD28" s="6"/>
      <c r="AE28" s="763"/>
      <c r="AF28" s="7"/>
      <c r="AG28" s="7" t="s">
        <v>430</v>
      </c>
      <c r="AH28" s="6"/>
      <c r="AI28" s="6"/>
      <c r="AJ28" s="6"/>
      <c r="AK28" s="41" t="s">
        <v>402</v>
      </c>
      <c r="AL28" s="6"/>
      <c r="AM28" s="6"/>
      <c r="AN28" s="6"/>
      <c r="AO28" s="6"/>
      <c r="AP28" s="6"/>
      <c r="AQ28" s="6"/>
      <c r="AR28" s="6"/>
    </row>
    <row r="29" spans="1:44" ht="21.95" customHeight="1" thickBot="1">
      <c r="A29" s="115"/>
      <c r="B29" s="109" t="s">
        <v>91</v>
      </c>
      <c r="C29" s="767"/>
      <c r="D29" s="111"/>
      <c r="E29" s="763"/>
      <c r="F29" s="763"/>
      <c r="G29" s="763"/>
      <c r="H29" s="763"/>
      <c r="I29" s="763"/>
      <c r="J29" s="763"/>
      <c r="K29" s="763"/>
      <c r="L29" s="763"/>
      <c r="M29" s="763"/>
      <c r="N29" s="763"/>
      <c r="O29" s="763"/>
      <c r="P29" s="763"/>
      <c r="Q29" s="763"/>
      <c r="R29" s="763"/>
      <c r="S29" s="763"/>
      <c r="T29" s="763"/>
      <c r="U29" s="763"/>
      <c r="V29" s="763"/>
      <c r="W29" s="763"/>
      <c r="X29" s="763"/>
      <c r="Y29" s="763"/>
      <c r="Z29" s="763"/>
      <c r="AA29" s="763"/>
      <c r="AB29" s="6"/>
      <c r="AC29" s="6"/>
      <c r="AD29" s="6"/>
      <c r="AE29" s="763"/>
      <c r="AF29" s="7"/>
      <c r="AG29" s="7" t="s">
        <v>427</v>
      </c>
      <c r="AH29" s="6"/>
      <c r="AI29" s="6"/>
      <c r="AJ29" s="6"/>
      <c r="AK29" s="41" t="s">
        <v>405</v>
      </c>
      <c r="AL29" s="6"/>
      <c r="AM29" s="6"/>
      <c r="AN29" s="6"/>
      <c r="AO29" s="6"/>
      <c r="AP29" s="6"/>
      <c r="AQ29" s="6"/>
      <c r="AR29" s="6"/>
    </row>
    <row r="30" spans="1:44" ht="44.1" customHeight="1" thickBot="1">
      <c r="A30" s="115"/>
      <c r="B30" s="908"/>
      <c r="C30" s="909"/>
      <c r="D30" s="910"/>
      <c r="E30" s="763"/>
      <c r="F30" s="763"/>
      <c r="G30" s="763"/>
      <c r="H30" s="763"/>
      <c r="I30" s="763"/>
      <c r="J30" s="763"/>
      <c r="K30" s="763"/>
      <c r="L30" s="763"/>
      <c r="M30" s="763"/>
      <c r="N30" s="763"/>
      <c r="O30" s="763"/>
      <c r="P30" s="763"/>
      <c r="Q30" s="763"/>
      <c r="R30" s="763"/>
      <c r="S30" s="763"/>
      <c r="T30" s="763"/>
      <c r="U30" s="763"/>
      <c r="V30" s="763"/>
      <c r="W30" s="763"/>
      <c r="X30" s="763"/>
      <c r="Y30" s="763"/>
      <c r="Z30" s="763"/>
      <c r="AA30" s="763"/>
      <c r="AB30" s="6"/>
      <c r="AC30" s="6"/>
      <c r="AD30" s="6"/>
      <c r="AE30" s="7" t="s">
        <v>431</v>
      </c>
      <c r="AF30" s="7"/>
      <c r="AG30" s="6"/>
      <c r="AH30" s="6"/>
      <c r="AI30" s="6"/>
      <c r="AJ30" s="6"/>
      <c r="AK30" s="41" t="s">
        <v>422</v>
      </c>
      <c r="AL30" s="6"/>
      <c r="AM30" s="6"/>
      <c r="AN30" s="6"/>
      <c r="AO30" s="6"/>
      <c r="AP30" s="6"/>
      <c r="AQ30" s="6"/>
      <c r="AR30" s="6"/>
    </row>
    <row r="31" spans="1:44" ht="21.95" customHeight="1" thickBot="1">
      <c r="A31" s="116"/>
      <c r="B31" s="112"/>
      <c r="C31" s="112"/>
      <c r="D31" s="113"/>
      <c r="E31" s="763"/>
      <c r="F31" s="763"/>
      <c r="G31" s="763"/>
      <c r="H31" s="763"/>
      <c r="I31" s="763"/>
      <c r="J31" s="763"/>
      <c r="K31" s="763"/>
      <c r="L31" s="763"/>
      <c r="M31" s="763"/>
      <c r="N31" s="763"/>
      <c r="O31" s="763"/>
      <c r="P31" s="763"/>
      <c r="Q31" s="763"/>
      <c r="R31" s="763"/>
      <c r="S31" s="763"/>
      <c r="T31" s="763"/>
      <c r="U31" s="763"/>
      <c r="V31" s="763"/>
      <c r="W31" s="763"/>
      <c r="X31" s="763"/>
      <c r="Y31" s="763"/>
      <c r="Z31" s="763"/>
      <c r="AA31" s="763"/>
      <c r="AB31" s="6"/>
      <c r="AC31" s="6"/>
      <c r="AD31" s="6"/>
      <c r="AE31" s="7" t="s">
        <v>432</v>
      </c>
      <c r="AF31" s="7"/>
      <c r="AG31" s="6"/>
      <c r="AH31" s="6"/>
      <c r="AI31" s="6"/>
      <c r="AJ31" s="6"/>
      <c r="AK31" s="41" t="s">
        <v>433</v>
      </c>
      <c r="AL31" s="6"/>
      <c r="AM31" s="6"/>
      <c r="AN31" s="6"/>
      <c r="AO31" s="6"/>
      <c r="AP31" s="6"/>
      <c r="AQ31" s="6"/>
      <c r="AR31" s="6"/>
    </row>
    <row r="32" spans="1:44" ht="21.95" customHeight="1" thickBot="1">
      <c r="A32" s="1202" t="s">
        <v>434</v>
      </c>
      <c r="B32" s="379"/>
      <c r="C32" s="379"/>
      <c r="D32" s="379"/>
      <c r="E32" s="763"/>
      <c r="F32" s="763"/>
      <c r="G32" s="763"/>
      <c r="H32" s="763"/>
      <c r="I32" s="763"/>
      <c r="J32" s="763"/>
      <c r="K32" s="763"/>
      <c r="L32" s="763"/>
      <c r="M32" s="763"/>
      <c r="N32" s="763"/>
      <c r="O32" s="763"/>
      <c r="P32" s="763"/>
      <c r="Q32" s="763"/>
      <c r="R32" s="763"/>
      <c r="S32" s="763"/>
      <c r="T32" s="763"/>
      <c r="U32" s="763"/>
      <c r="V32" s="763"/>
      <c r="W32" s="763"/>
      <c r="X32" s="763"/>
      <c r="Y32" s="763"/>
      <c r="Z32" s="763"/>
      <c r="AA32" s="763"/>
      <c r="AB32" s="6"/>
      <c r="AC32" s="6"/>
      <c r="AD32" s="6"/>
      <c r="AE32" s="7" t="s">
        <v>435</v>
      </c>
      <c r="AF32" s="7"/>
      <c r="AG32" s="7" t="s">
        <v>402</v>
      </c>
      <c r="AH32" s="6"/>
      <c r="AI32" s="6"/>
      <c r="AJ32" s="6"/>
      <c r="AK32" s="41" t="s">
        <v>436</v>
      </c>
      <c r="AL32" s="6"/>
      <c r="AM32" s="6"/>
      <c r="AN32" s="6"/>
      <c r="AO32" s="6"/>
      <c r="AP32" s="6"/>
      <c r="AQ32" s="6"/>
      <c r="AR32" s="6"/>
    </row>
    <row r="33" spans="1:44" ht="21.95" customHeight="1" thickBot="1">
      <c r="A33" s="115"/>
      <c r="B33" s="109" t="s">
        <v>91</v>
      </c>
      <c r="C33" s="767"/>
      <c r="D33" s="111"/>
      <c r="E33" s="763"/>
      <c r="F33" s="763"/>
      <c r="G33" s="763"/>
      <c r="H33" s="763"/>
      <c r="I33" s="763"/>
      <c r="J33" s="763"/>
      <c r="K33" s="763"/>
      <c r="L33" s="763"/>
      <c r="M33" s="763"/>
      <c r="N33" s="763"/>
      <c r="O33" s="763"/>
      <c r="P33" s="763"/>
      <c r="Q33" s="763"/>
      <c r="R33" s="763"/>
      <c r="S33" s="763"/>
      <c r="T33" s="763"/>
      <c r="U33" s="763"/>
      <c r="V33" s="763"/>
      <c r="W33" s="763"/>
      <c r="X33" s="763"/>
      <c r="Y33" s="763"/>
      <c r="Z33" s="763"/>
      <c r="AA33" s="763"/>
      <c r="AB33" s="6"/>
      <c r="AC33" s="6"/>
      <c r="AD33" s="6"/>
      <c r="AE33" s="7"/>
      <c r="AF33" s="7"/>
      <c r="AG33" s="7" t="s">
        <v>405</v>
      </c>
      <c r="AH33" s="6"/>
      <c r="AI33" s="6"/>
      <c r="AJ33" s="6"/>
      <c r="AK33" s="41" t="s">
        <v>437</v>
      </c>
      <c r="AL33" s="6"/>
      <c r="AM33" s="6"/>
      <c r="AN33" s="6"/>
      <c r="AO33" s="6"/>
      <c r="AP33" s="6"/>
      <c r="AQ33" s="6"/>
      <c r="AR33" s="6"/>
    </row>
    <row r="34" spans="1:44" ht="44.1" customHeight="1" thickBot="1">
      <c r="A34" s="115"/>
      <c r="B34" s="908"/>
      <c r="C34" s="909"/>
      <c r="D34" s="910"/>
      <c r="E34" s="763"/>
      <c r="F34" s="763"/>
      <c r="G34" s="763"/>
      <c r="H34" s="763"/>
      <c r="I34" s="763"/>
      <c r="J34" s="763"/>
      <c r="K34" s="763"/>
      <c r="L34" s="763"/>
      <c r="M34" s="763"/>
      <c r="N34" s="763"/>
      <c r="O34" s="763"/>
      <c r="P34" s="763"/>
      <c r="Q34" s="763"/>
      <c r="R34" s="763"/>
      <c r="S34" s="763"/>
      <c r="T34" s="763"/>
      <c r="U34" s="763"/>
      <c r="V34" s="763"/>
      <c r="W34" s="763"/>
      <c r="X34" s="763"/>
      <c r="Y34" s="763"/>
      <c r="Z34" s="763"/>
      <c r="AA34" s="763"/>
      <c r="AB34" s="6"/>
      <c r="AC34" s="6"/>
      <c r="AD34" s="6"/>
      <c r="AE34" s="7"/>
      <c r="AF34" s="7"/>
      <c r="AG34" s="7" t="s">
        <v>422</v>
      </c>
      <c r="AH34" s="6"/>
      <c r="AI34" s="6"/>
      <c r="AJ34" s="6"/>
      <c r="AK34" s="41" t="s">
        <v>438</v>
      </c>
      <c r="AL34" s="6"/>
      <c r="AM34" s="6"/>
      <c r="AN34" s="6"/>
      <c r="AO34" s="6"/>
      <c r="AP34" s="6"/>
      <c r="AQ34" s="6"/>
      <c r="AR34" s="6"/>
    </row>
    <row r="35" spans="1:44" ht="21.95" customHeight="1">
      <c r="A35" s="116"/>
      <c r="B35" s="61"/>
      <c r="C35" s="61"/>
      <c r="D35" s="62"/>
      <c r="E35" s="763"/>
      <c r="F35" s="763"/>
      <c r="G35" s="763"/>
      <c r="H35" s="763"/>
      <c r="I35" s="763"/>
      <c r="J35" s="763"/>
      <c r="K35" s="763"/>
      <c r="L35" s="763"/>
      <c r="M35" s="763"/>
      <c r="N35" s="763"/>
      <c r="O35" s="763"/>
      <c r="P35" s="763"/>
      <c r="Q35" s="763"/>
      <c r="R35" s="763"/>
      <c r="S35" s="763"/>
      <c r="T35" s="763"/>
      <c r="U35" s="763"/>
      <c r="V35" s="763"/>
      <c r="W35" s="763"/>
      <c r="X35" s="763"/>
      <c r="Y35" s="763"/>
      <c r="Z35" s="763"/>
      <c r="AA35" s="763"/>
      <c r="AB35" s="6"/>
      <c r="AC35" s="6"/>
      <c r="AD35" s="6"/>
      <c r="AE35" s="7"/>
      <c r="AF35" s="7"/>
      <c r="AG35" s="6" t="s">
        <v>439</v>
      </c>
      <c r="AH35" s="6"/>
      <c r="AI35" s="6"/>
      <c r="AJ35" s="6"/>
      <c r="AK35" s="41" t="s">
        <v>440</v>
      </c>
      <c r="AL35" s="6"/>
      <c r="AM35" s="6"/>
      <c r="AN35" s="6"/>
      <c r="AO35" s="6"/>
      <c r="AP35" s="6"/>
      <c r="AQ35" s="6"/>
      <c r="AR35" s="6"/>
    </row>
    <row r="36" spans="1:44" ht="21.95" customHeight="1" thickBot="1">
      <c r="A36" s="1202" t="s">
        <v>441</v>
      </c>
      <c r="B36" s="733"/>
      <c r="C36" s="733"/>
      <c r="D36" s="1173"/>
      <c r="E36" s="763"/>
      <c r="F36" s="763"/>
      <c r="G36" s="763"/>
      <c r="H36" s="763"/>
      <c r="I36" s="763"/>
      <c r="J36" s="763"/>
      <c r="K36" s="763"/>
      <c r="L36" s="763"/>
      <c r="M36" s="763"/>
      <c r="N36" s="763"/>
      <c r="O36" s="763"/>
      <c r="P36" s="763"/>
      <c r="Q36" s="763"/>
      <c r="R36" s="763"/>
      <c r="S36" s="763"/>
      <c r="T36" s="763"/>
      <c r="U36" s="763"/>
      <c r="V36" s="763"/>
      <c r="W36" s="763"/>
      <c r="X36" s="763"/>
      <c r="Y36" s="763"/>
      <c r="Z36" s="763"/>
      <c r="AA36" s="763"/>
      <c r="AB36" s="6"/>
      <c r="AC36" s="6"/>
      <c r="AD36" s="6"/>
      <c r="AE36" s="763"/>
      <c r="AF36" s="763"/>
      <c r="AG36" s="6"/>
      <c r="AH36" s="6"/>
      <c r="AI36" s="6"/>
      <c r="AJ36" s="6"/>
      <c r="AK36" s="41" t="s">
        <v>442</v>
      </c>
      <c r="AL36" s="6"/>
      <c r="AM36" s="6"/>
      <c r="AN36" s="6"/>
      <c r="AO36" s="6"/>
      <c r="AP36" s="6"/>
      <c r="AQ36" s="6"/>
      <c r="AR36" s="6"/>
    </row>
    <row r="37" spans="1:44" ht="44.1" customHeight="1" thickBot="1">
      <c r="A37" s="115"/>
      <c r="B37" s="908"/>
      <c r="C37" s="909"/>
      <c r="D37" s="910"/>
      <c r="E37" s="763"/>
      <c r="F37" s="763"/>
      <c r="G37" s="763"/>
      <c r="H37" s="763"/>
      <c r="I37" s="763"/>
      <c r="J37" s="763"/>
      <c r="K37" s="763"/>
      <c r="L37" s="763"/>
      <c r="M37" s="763"/>
      <c r="N37" s="763"/>
      <c r="O37" s="763"/>
      <c r="P37" s="763"/>
      <c r="Q37" s="763"/>
      <c r="R37" s="763"/>
      <c r="S37" s="763"/>
      <c r="T37" s="763"/>
      <c r="U37" s="763"/>
      <c r="V37" s="763"/>
      <c r="W37" s="763"/>
      <c r="X37" s="763"/>
      <c r="Y37" s="763"/>
      <c r="Z37" s="763"/>
      <c r="AA37" s="763"/>
      <c r="AB37" s="6"/>
      <c r="AC37" s="6"/>
      <c r="AD37" s="6"/>
      <c r="AE37" s="763"/>
      <c r="AF37" s="763"/>
      <c r="AG37" s="6"/>
      <c r="AH37" s="6"/>
      <c r="AI37" s="6"/>
      <c r="AJ37" s="6"/>
      <c r="AK37" s="41" t="s">
        <v>443</v>
      </c>
      <c r="AL37" s="6"/>
      <c r="AM37" s="6"/>
      <c r="AN37" s="6"/>
      <c r="AO37" s="6"/>
      <c r="AP37" s="6"/>
      <c r="AQ37" s="6"/>
      <c r="AR37" s="6"/>
    </row>
    <row r="38" spans="1:44" ht="21.95" customHeight="1">
      <c r="A38" s="116"/>
      <c r="B38" s="112"/>
      <c r="C38" s="112"/>
      <c r="D38" s="113"/>
      <c r="E38" s="763"/>
      <c r="F38" s="763"/>
      <c r="G38" s="763"/>
      <c r="H38" s="763"/>
      <c r="I38" s="763"/>
      <c r="J38" s="763"/>
      <c r="K38" s="763"/>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6"/>
      <c r="AI38" s="763"/>
      <c r="AJ38" s="763"/>
      <c r="AK38" s="41" t="s">
        <v>444</v>
      </c>
      <c r="AL38" s="763"/>
      <c r="AM38" s="763"/>
      <c r="AN38" s="763"/>
      <c r="AO38" s="763"/>
      <c r="AP38" s="763"/>
      <c r="AQ38" s="763"/>
      <c r="AR38" s="763"/>
    </row>
    <row r="39" spans="1:44" ht="12.75" customHeight="1">
      <c r="A39" s="763"/>
      <c r="B39" s="763"/>
      <c r="C39" s="763"/>
      <c r="D39" s="784"/>
      <c r="E39" s="763"/>
      <c r="F39" s="763"/>
      <c r="G39" s="763"/>
      <c r="H39" s="763"/>
      <c r="I39" s="763"/>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763"/>
      <c r="AJ39" s="763"/>
      <c r="AK39" s="763"/>
      <c r="AL39" s="763"/>
      <c r="AM39" s="763"/>
      <c r="AN39" s="763"/>
      <c r="AO39" s="763"/>
      <c r="AP39" s="763"/>
      <c r="AQ39" s="763"/>
      <c r="AR39" s="763"/>
    </row>
  </sheetData>
  <sheetProtection autoFilter="0"/>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'P-Overview'!$AD$5:$AD$165</xm:f>
          </x14:formula1>
          <xm:sqref>D5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0EFD-20C2-48CB-8A4E-646C09291EAB}">
  <sheetPr codeName="Sheet17">
    <tabColor theme="5" tint="-0.249977111117893"/>
    <pageSetUpPr fitToPage="1"/>
  </sheetPr>
  <dimension ref="A1:IP63"/>
  <sheetViews>
    <sheetView showGridLines="0" workbookViewId="0">
      <selection activeCell="D8" sqref="D8"/>
    </sheetView>
  </sheetViews>
  <sheetFormatPr defaultColWidth="9.140625" defaultRowHeight="12.75"/>
  <cols>
    <col min="1" max="1" width="11.7109375" style="15" customWidth="1"/>
    <col min="2" max="2" width="4.28515625" style="15" customWidth="1"/>
    <col min="3" max="3" width="23.85546875" style="15" customWidth="1"/>
    <col min="4" max="4" width="48.85546875" style="15" customWidth="1"/>
    <col min="5" max="8" width="31.7109375" style="15" customWidth="1"/>
    <col min="9" max="9" width="2.28515625" style="15" customWidth="1"/>
    <col min="10" max="10" width="22.7109375" style="15" customWidth="1"/>
    <col min="11" max="11" width="13.42578125" style="15" customWidth="1"/>
    <col min="12" max="12" width="15.28515625" bestFit="1" customWidth="1"/>
    <col min="13" max="13" width="12.7109375" customWidth="1"/>
    <col min="14" max="14" width="19.7109375" bestFit="1" customWidth="1"/>
    <col min="17" max="16384" width="9.140625" style="15"/>
  </cols>
  <sheetData>
    <row r="1" spans="1:250" s="100" customFormat="1" ht="18" customHeight="1">
      <c r="A1" s="762" t="s">
        <v>48</v>
      </c>
      <c r="L1" s="759"/>
      <c r="M1" s="759"/>
      <c r="N1" s="759"/>
      <c r="O1" s="759"/>
      <c r="P1" s="759"/>
    </row>
    <row r="2" spans="1:250" ht="18" customHeight="1">
      <c r="B2" s="16"/>
      <c r="C2" s="16"/>
      <c r="D2" s="16"/>
      <c r="E2" s="17"/>
      <c r="H2" s="17"/>
      <c r="L2" s="759"/>
      <c r="M2" s="759"/>
      <c r="N2" s="759"/>
      <c r="O2" s="759"/>
      <c r="P2" s="759"/>
      <c r="AA2" s="15" t="s">
        <v>160</v>
      </c>
    </row>
    <row r="3" spans="1:250" ht="18" customHeight="1">
      <c r="A3" s="24" t="s">
        <v>445</v>
      </c>
      <c r="D3" s="45"/>
      <c r="F3" s="18"/>
      <c r="L3" s="759"/>
      <c r="M3" s="759"/>
      <c r="N3" s="759"/>
      <c r="O3" s="759"/>
      <c r="P3" s="759"/>
      <c r="AA3" s="15" t="s">
        <v>284</v>
      </c>
    </row>
    <row r="4" spans="1:250" ht="18" customHeight="1">
      <c r="A4" s="918" t="s">
        <v>446</v>
      </c>
      <c r="B4" s="918"/>
      <c r="C4" s="863"/>
      <c r="D4" s="424"/>
      <c r="F4" s="18"/>
      <c r="L4" s="759"/>
      <c r="M4" s="759"/>
      <c r="N4" s="759"/>
      <c r="O4" s="759"/>
      <c r="P4" s="759"/>
    </row>
    <row r="5" spans="1:250" ht="18" customHeight="1">
      <c r="A5" s="918" t="s">
        <v>447</v>
      </c>
      <c r="B5" s="918"/>
      <c r="C5" s="863"/>
      <c r="D5" s="424"/>
      <c r="E5" s="759"/>
      <c r="F5" s="759"/>
      <c r="G5" s="759"/>
      <c r="H5" s="759"/>
      <c r="L5" s="759"/>
      <c r="M5" s="759"/>
      <c r="N5" s="759"/>
      <c r="O5" s="759"/>
      <c r="P5" s="759"/>
    </row>
    <row r="6" spans="1:250" ht="18" customHeight="1">
      <c r="A6" s="918" t="s">
        <v>448</v>
      </c>
      <c r="B6" s="918"/>
      <c r="C6" s="863"/>
      <c r="D6" s="424"/>
      <c r="E6" s="759"/>
      <c r="F6" s="759"/>
      <c r="G6" s="759"/>
      <c r="H6" s="759"/>
      <c r="L6" s="759"/>
      <c r="M6" s="759"/>
      <c r="N6" s="759"/>
      <c r="O6" s="759"/>
      <c r="P6" s="759"/>
    </row>
    <row r="7" spans="1:250" ht="18" customHeight="1">
      <c r="A7" s="281" t="s">
        <v>449</v>
      </c>
      <c r="B7" s="781"/>
      <c r="C7" s="782"/>
      <c r="D7" s="426"/>
      <c r="E7" s="759"/>
      <c r="F7" s="759"/>
      <c r="G7" s="759"/>
      <c r="H7" s="759"/>
      <c r="L7" s="759"/>
      <c r="M7" s="759"/>
      <c r="N7" s="759"/>
      <c r="O7" s="759"/>
      <c r="P7" s="759"/>
    </row>
    <row r="8" spans="1:250" ht="18" customHeight="1">
      <c r="A8" s="918" t="s">
        <v>450</v>
      </c>
      <c r="B8" s="918"/>
      <c r="C8" s="921"/>
      <c r="D8" s="426"/>
      <c r="E8" s="759"/>
      <c r="F8" s="759"/>
      <c r="G8" s="759"/>
      <c r="H8" s="759"/>
      <c r="L8" s="759"/>
      <c r="M8" s="759"/>
      <c r="N8" s="759"/>
      <c r="O8" s="759"/>
      <c r="P8" s="759"/>
    </row>
    <row r="9" spans="1:250" ht="18" customHeight="1">
      <c r="A9" s="922" t="s">
        <v>451</v>
      </c>
      <c r="B9" s="922"/>
      <c r="C9" s="921"/>
      <c r="D9" s="19"/>
      <c r="L9" s="759"/>
      <c r="M9" s="759"/>
      <c r="N9" s="759"/>
      <c r="O9" s="759"/>
      <c r="P9" s="759"/>
    </row>
    <row r="10" spans="1:250" ht="18" customHeight="1" thickBot="1">
      <c r="C10" s="128"/>
      <c r="D10" s="759"/>
      <c r="L10" s="759"/>
      <c r="M10" s="759"/>
      <c r="N10" s="759"/>
      <c r="O10" s="759"/>
      <c r="P10" s="759"/>
    </row>
    <row r="11" spans="1:250" s="5" customFormat="1" ht="18" customHeight="1" thickBot="1">
      <c r="A11" s="29"/>
      <c r="B11" s="29"/>
      <c r="C11" s="29"/>
      <c r="D11" s="29"/>
      <c r="E11" s="912" t="s">
        <v>452</v>
      </c>
      <c r="F11" s="913"/>
      <c r="G11" s="913"/>
      <c r="H11" s="914"/>
      <c r="I11" s="29"/>
      <c r="J11" s="29"/>
      <c r="K11" s="29"/>
      <c r="L11" s="759"/>
      <c r="M11" s="759"/>
      <c r="N11" s="759"/>
      <c r="O11" s="759"/>
      <c r="P11" s="75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row>
    <row r="12" spans="1:250" s="5" customFormat="1" ht="33" customHeight="1" thickBot="1">
      <c r="A12" s="29"/>
      <c r="B12" s="29"/>
      <c r="C12" s="29"/>
      <c r="D12" s="29"/>
      <c r="E12" s="371" t="s">
        <v>453</v>
      </c>
      <c r="F12" s="371" t="s">
        <v>454</v>
      </c>
      <c r="G12" s="371" t="s">
        <v>455</v>
      </c>
      <c r="H12" s="372" t="s">
        <v>456</v>
      </c>
      <c r="I12" s="29"/>
      <c r="J12" s="29"/>
      <c r="K12" s="29"/>
      <c r="L12" s="759"/>
      <c r="M12" s="759"/>
      <c r="N12" s="759"/>
      <c r="O12" s="759"/>
      <c r="P12" s="75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row>
    <row r="13" spans="1:250" s="5" customFormat="1" ht="33" customHeight="1" thickBot="1">
      <c r="A13" s="29"/>
      <c r="B13" s="29"/>
      <c r="C13" s="29"/>
      <c r="D13" s="29"/>
      <c r="E13" s="763"/>
      <c r="F13" s="119"/>
      <c r="G13" s="119"/>
      <c r="H13" s="380"/>
      <c r="I13" s="29"/>
      <c r="J13" s="29"/>
      <c r="K13" s="29"/>
      <c r="L13" s="759"/>
      <c r="M13" s="759"/>
      <c r="N13" s="759"/>
      <c r="O13" s="759"/>
      <c r="P13" s="75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row>
    <row r="14" spans="1:250" s="5" customFormat="1" ht="18" customHeight="1">
      <c r="A14" s="118" t="s">
        <v>457</v>
      </c>
      <c r="B14" s="29"/>
      <c r="C14" s="29"/>
      <c r="D14" s="29"/>
      <c r="E14" s="368" t="str">
        <f>"Cell "&amp;ADDRESS(ROW(D4),COLUMN(D4))&amp;" to be filled in first for the fillable  form below to be available to fill."</f>
        <v>Cell $D$4 to be filled in first for the fillable  form below to be available to fill.</v>
      </c>
      <c r="F14" s="367"/>
      <c r="G14" s="367"/>
      <c r="H14" s="119"/>
      <c r="I14" s="29"/>
      <c r="J14" s="29"/>
      <c r="K14" s="29"/>
      <c r="L14" s="759"/>
      <c r="M14" s="759"/>
      <c r="N14" s="759"/>
      <c r="O14" s="759"/>
      <c r="P14" s="75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row>
    <row r="15" spans="1:250" s="5" customFormat="1" ht="18" customHeight="1">
      <c r="A15" s="118"/>
      <c r="B15" s="29" t="s">
        <v>458</v>
      </c>
      <c r="C15" s="29" t="s">
        <v>459</v>
      </c>
      <c r="D15" s="29"/>
      <c r="E15" s="262"/>
      <c r="F15" s="262"/>
      <c r="G15" s="262"/>
      <c r="H15" s="365">
        <f>D6</f>
        <v>0</v>
      </c>
      <c r="I15" s="29"/>
      <c r="J15" s="29"/>
      <c r="K15" s="29"/>
      <c r="L15" s="759"/>
      <c r="M15" s="759"/>
      <c r="N15" s="759"/>
      <c r="O15" s="759"/>
      <c r="P15" s="75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row>
    <row r="16" spans="1:250" s="5" customFormat="1" ht="18" customHeight="1">
      <c r="A16" s="118"/>
      <c r="B16" s="29" t="s">
        <v>460</v>
      </c>
      <c r="C16" s="29" t="s">
        <v>461</v>
      </c>
      <c r="D16" s="29"/>
      <c r="E16" s="262"/>
      <c r="F16" s="262"/>
      <c r="G16" s="262"/>
      <c r="H16" s="783"/>
      <c r="I16" s="29"/>
      <c r="J16" s="763"/>
      <c r="K16" s="29"/>
      <c r="L16" s="759"/>
      <c r="M16" s="759"/>
      <c r="N16" s="759"/>
      <c r="O16" s="759"/>
      <c r="P16" s="75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row>
    <row r="17" spans="1:250" s="5" customFormat="1" ht="18" customHeight="1">
      <c r="A17" s="118"/>
      <c r="B17" s="29" t="s">
        <v>462</v>
      </c>
      <c r="C17" s="29" t="s">
        <v>463</v>
      </c>
      <c r="D17" s="29"/>
      <c r="E17" s="262"/>
      <c r="F17" s="262"/>
      <c r="G17" s="262"/>
      <c r="H17" s="783" t="str">
        <f>"Richmond, VA (HCI: "&amp;INDEX('P-HCI'!$A$5:$HD$34,MATCH(MAX('P-HCI'!$A$5:$A$34),'P-HCI'!$A$5:$A$34,0),MATCH("Richmond",'P-HCI'!$A$5:$HD$5,0))&amp;")"</f>
        <v>Richmond, VA (HCI: 264.6)</v>
      </c>
      <c r="I17" s="29"/>
      <c r="J17" s="323" t="s">
        <v>464</v>
      </c>
      <c r="K17" s="29"/>
      <c r="L17" s="312"/>
      <c r="M17" s="759"/>
      <c r="N17" s="759"/>
      <c r="O17" s="759"/>
      <c r="P17" s="75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row>
    <row r="18" spans="1:250" s="5" customFormat="1" ht="18" customHeight="1">
      <c r="A18" s="118"/>
      <c r="B18" s="29" t="s">
        <v>465</v>
      </c>
      <c r="C18" s="29" t="s">
        <v>466</v>
      </c>
      <c r="D18" s="29"/>
      <c r="E18" s="261"/>
      <c r="F18" s="261"/>
      <c r="G18" s="261"/>
      <c r="H18" s="783"/>
      <c r="I18" s="29"/>
      <c r="J18" s="29"/>
      <c r="K18" s="29"/>
      <c r="L18" s="311"/>
      <c r="M18" s="759"/>
      <c r="N18" s="759"/>
      <c r="O18" s="759"/>
      <c r="P18" s="75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row>
    <row r="19" spans="1:250" s="5" customFormat="1" ht="18" customHeight="1">
      <c r="A19" s="118"/>
      <c r="B19" s="29"/>
      <c r="C19" s="29"/>
      <c r="D19" s="29"/>
      <c r="E19" s="29"/>
      <c r="F19" s="29"/>
      <c r="G19" s="29"/>
      <c r="H19" s="783"/>
      <c r="I19" s="29"/>
      <c r="J19" s="29"/>
      <c r="K19" s="29"/>
      <c r="L19" s="311"/>
      <c r="M19" s="310"/>
      <c r="N19" s="759"/>
      <c r="O19" s="759"/>
      <c r="P19" s="75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row>
    <row r="20" spans="1:250" s="5" customFormat="1" ht="18" customHeight="1">
      <c r="A20" s="118" t="s">
        <v>467</v>
      </c>
      <c r="B20" s="29"/>
      <c r="C20" s="29"/>
      <c r="D20" s="29"/>
      <c r="E20" s="29"/>
      <c r="F20" s="29"/>
      <c r="G20" s="29"/>
      <c r="H20" s="783"/>
      <c r="I20" s="29"/>
      <c r="J20" s="763"/>
      <c r="K20" s="29"/>
      <c r="L20" s="311"/>
      <c r="M20" s="759"/>
      <c r="N20" s="759"/>
      <c r="O20" s="759"/>
      <c r="P20" s="75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row>
    <row r="21" spans="1:250" s="5" customFormat="1" ht="18" customHeight="1">
      <c r="A21" s="118"/>
      <c r="B21" s="29" t="s">
        <v>468</v>
      </c>
      <c r="C21" s="29" t="s">
        <v>469</v>
      </c>
      <c r="D21" s="29"/>
      <c r="E21" s="362"/>
      <c r="F21" s="362"/>
      <c r="G21" s="363"/>
      <c r="H21" s="366">
        <f>IFERROR(_xlfn.XLOOKUP($D$6,'VBCCD Table'!$E$8:$E$66,'VBCCD Table'!$J$8:$J$66,,0),0)</f>
        <v>0</v>
      </c>
      <c r="I21" s="29"/>
      <c r="J21" s="763"/>
      <c r="K21" s="29"/>
      <c r="L21" s="311"/>
      <c r="M21" s="759"/>
      <c r="N21" s="759"/>
      <c r="O21" s="759"/>
      <c r="P21" s="75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row>
    <row r="22" spans="1:250" s="5" customFormat="1" ht="18" customHeight="1">
      <c r="A22" s="118"/>
      <c r="B22" s="29" t="s">
        <v>470</v>
      </c>
      <c r="C22" s="29" t="s">
        <v>471</v>
      </c>
      <c r="D22" s="29"/>
      <c r="E22" s="374"/>
      <c r="F22" s="374"/>
      <c r="G22" s="374"/>
      <c r="H22" s="375">
        <f>IFERROR(_xlfn.XLOOKUP($D$6,'VBCCD Table'!$E$8:$E$66,'VBCCD Table'!$L$8:$L$66,,0),0)</f>
        <v>0</v>
      </c>
      <c r="I22" s="29"/>
      <c r="J22" s="29"/>
      <c r="K22" s="29"/>
      <c r="L22" s="311"/>
      <c r="M22" s="759"/>
      <c r="N22" s="759"/>
      <c r="O22" s="759"/>
      <c r="P22" s="75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row>
    <row r="23" spans="1:250" s="5" customFormat="1" ht="18" customHeight="1">
      <c r="A23" s="118"/>
      <c r="B23" s="29" t="s">
        <v>472</v>
      </c>
      <c r="C23" s="29" t="s">
        <v>473</v>
      </c>
      <c r="D23" s="323"/>
      <c r="E23" s="1174"/>
      <c r="F23" s="1175"/>
      <c r="G23" s="1175"/>
      <c r="H23" s="1176"/>
      <c r="I23" s="29"/>
      <c r="J23" s="29"/>
      <c r="K23" s="29"/>
      <c r="L23" s="311"/>
      <c r="M23" s="759"/>
      <c r="N23" s="759"/>
      <c r="O23" s="759"/>
      <c r="P23" s="75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row>
    <row r="24" spans="1:250" s="5" customFormat="1" ht="18" customHeight="1">
      <c r="A24" s="118"/>
      <c r="B24" s="29" t="s">
        <v>474</v>
      </c>
      <c r="C24" s="29" t="s">
        <v>475</v>
      </c>
      <c r="D24" s="29"/>
      <c r="E24" s="376"/>
      <c r="F24" s="376"/>
      <c r="G24" s="377"/>
      <c r="H24" s="759"/>
      <c r="I24" s="29"/>
      <c r="J24" s="29"/>
      <c r="K24" s="29"/>
      <c r="L24" s="311"/>
      <c r="M24" s="759"/>
      <c r="N24" s="759"/>
      <c r="O24" s="759"/>
      <c r="P24" s="75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row>
    <row r="25" spans="1:250" s="5" customFormat="1" ht="18" customHeight="1">
      <c r="A25" s="118"/>
      <c r="B25" s="29" t="s">
        <v>476</v>
      </c>
      <c r="C25" s="29" t="s">
        <v>477</v>
      </c>
      <c r="D25" s="29"/>
      <c r="E25" s="120"/>
      <c r="F25" s="120"/>
      <c r="G25" s="120"/>
      <c r="H25" s="759"/>
      <c r="I25" s="29"/>
      <c r="J25" s="29"/>
      <c r="K25" s="29"/>
      <c r="L25" s="759"/>
      <c r="M25" s="759"/>
      <c r="N25" s="759"/>
      <c r="O25" s="759"/>
      <c r="P25" s="75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row>
    <row r="26" spans="1:250" s="5" customFormat="1" ht="18" customHeight="1">
      <c r="A26" s="118"/>
      <c r="B26" s="29"/>
      <c r="C26" s="29"/>
      <c r="D26" s="29"/>
      <c r="E26" s="29"/>
      <c r="F26" s="29"/>
      <c r="G26" s="29"/>
      <c r="H26" s="96"/>
      <c r="I26" s="29"/>
      <c r="J26" s="29"/>
      <c r="K26" s="29"/>
      <c r="L26" s="759"/>
      <c r="M26" s="759"/>
      <c r="N26" s="759"/>
      <c r="O26" s="759"/>
      <c r="P26" s="75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row>
    <row r="27" spans="1:250" s="5" customFormat="1" ht="18" customHeight="1">
      <c r="A27" s="118" t="s">
        <v>478</v>
      </c>
      <c r="B27" s="29"/>
      <c r="C27" s="29"/>
      <c r="D27" s="29"/>
      <c r="E27" s="29"/>
      <c r="F27" s="29"/>
      <c r="G27" s="29"/>
      <c r="H27" s="783"/>
      <c r="I27" s="29"/>
      <c r="J27" s="29"/>
      <c r="K27" s="29"/>
      <c r="L27" s="759"/>
      <c r="M27" s="759"/>
      <c r="N27" s="759"/>
      <c r="O27" s="759"/>
      <c r="P27" s="75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row>
    <row r="28" spans="1:250" s="5" customFormat="1" ht="18" customHeight="1">
      <c r="A28" s="118"/>
      <c r="B28" s="29"/>
      <c r="C28" s="29"/>
      <c r="D28" s="326"/>
      <c r="E28" s="29" t="s">
        <v>479</v>
      </c>
      <c r="F28" s="29" t="s">
        <v>479</v>
      </c>
      <c r="G28" s="29" t="s">
        <v>479</v>
      </c>
      <c r="H28" s="783"/>
      <c r="I28" s="29"/>
      <c r="J28" s="763"/>
      <c r="K28" s="29"/>
      <c r="L28" s="759"/>
      <c r="M28" s="759"/>
      <c r="N28" s="759"/>
      <c r="O28" s="759"/>
      <c r="P28" s="75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row>
    <row r="29" spans="1:250" s="5" customFormat="1" ht="18" customHeight="1">
      <c r="A29" s="118"/>
      <c r="B29" s="29" t="s">
        <v>480</v>
      </c>
      <c r="C29" s="29" t="s">
        <v>481</v>
      </c>
      <c r="D29" s="29"/>
      <c r="E29" s="21"/>
      <c r="F29" s="21"/>
      <c r="G29" s="21"/>
      <c r="H29" s="783"/>
      <c r="I29" s="29"/>
      <c r="J29" s="6"/>
      <c r="K29" s="296"/>
      <c r="L29" s="759"/>
      <c r="M29" s="759"/>
      <c r="N29" s="759"/>
      <c r="O29" s="759"/>
      <c r="P29" s="75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row>
    <row r="30" spans="1:250" s="5" customFormat="1" ht="18" customHeight="1">
      <c r="A30" s="118"/>
      <c r="B30" s="29" t="s">
        <v>482</v>
      </c>
      <c r="C30" s="29" t="s">
        <v>483</v>
      </c>
      <c r="D30" s="29"/>
      <c r="E30" s="21"/>
      <c r="F30" s="21"/>
      <c r="G30" s="21"/>
      <c r="H30" s="783"/>
      <c r="I30" s="29"/>
      <c r="J30" s="29"/>
      <c r="K30" s="296"/>
      <c r="L30" s="759"/>
      <c r="M30" s="759"/>
      <c r="N30" s="759"/>
      <c r="O30" s="759"/>
      <c r="P30" s="75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row>
    <row r="31" spans="1:250" s="5" customFormat="1" ht="18" customHeight="1">
      <c r="A31" s="29"/>
      <c r="B31" s="29" t="s">
        <v>484</v>
      </c>
      <c r="C31" s="29" t="s">
        <v>485</v>
      </c>
      <c r="D31" s="29"/>
      <c r="E31" s="121">
        <f>IF(OR(E29="",E22=""),0,(E29+E30)/E22)</f>
        <v>0</v>
      </c>
      <c r="F31" s="121">
        <f t="shared" ref="F31:G31" si="0">IF(OR(F29="",F22=""),0,(F29+F30)/F22)</f>
        <v>0</v>
      </c>
      <c r="G31" s="121">
        <f t="shared" si="0"/>
        <v>0</v>
      </c>
      <c r="H31" s="783"/>
      <c r="I31" s="29"/>
      <c r="J31" s="29"/>
      <c r="K31" s="296"/>
      <c r="L31" s="759"/>
      <c r="M31" s="759"/>
      <c r="N31" s="759"/>
      <c r="O31" s="759"/>
      <c r="P31" s="75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row>
    <row r="32" spans="1:250" s="5" customFormat="1" ht="18" customHeight="1">
      <c r="A32" s="29"/>
      <c r="B32" s="29"/>
      <c r="C32" s="29"/>
      <c r="D32" s="29"/>
      <c r="E32" s="783"/>
      <c r="F32" s="783"/>
      <c r="G32" s="783"/>
      <c r="H32" s="763"/>
      <c r="I32" s="29"/>
      <c r="J32" s="29"/>
      <c r="K32" s="29"/>
      <c r="L32" s="193"/>
      <c r="M32" s="759"/>
      <c r="N32" s="759"/>
      <c r="O32" s="759"/>
      <c r="P32" s="75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row>
    <row r="33" spans="1:250" s="5" customFormat="1" ht="18" customHeight="1">
      <c r="A33" s="118" t="s">
        <v>486</v>
      </c>
      <c r="B33" s="29"/>
      <c r="C33" s="29"/>
      <c r="D33" s="29"/>
      <c r="E33" s="122"/>
      <c r="F33" s="122"/>
      <c r="G33" s="122"/>
      <c r="H33" s="783"/>
      <c r="I33" s="29"/>
      <c r="J33" s="29"/>
      <c r="K33" s="29"/>
      <c r="L33" s="759"/>
      <c r="M33" s="759"/>
      <c r="N33" s="759"/>
      <c r="O33" s="759"/>
      <c r="P33" s="75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row>
    <row r="34" spans="1:250" s="5" customFormat="1" ht="18" customHeight="1">
      <c r="A34" s="123"/>
      <c r="B34" s="29" t="s">
        <v>487</v>
      </c>
      <c r="C34" s="29" t="s">
        <v>488</v>
      </c>
      <c r="D34" s="29"/>
      <c r="E34" s="22"/>
      <c r="F34" s="22"/>
      <c r="G34" s="22"/>
      <c r="H34" s="122">
        <f>INDEX('P-HCI'!$A$5:$HD$34,MATCH(MAX('P-HCI'!$A$5:$A$34),'P-HCI'!$A$5:$A$34,0),MATCH("Richmond",'P-HCI'!$A$5:$HD$5,0))</f>
        <v>264.60000000000002</v>
      </c>
      <c r="I34" s="29"/>
      <c r="J34" s="323" t="s">
        <v>464</v>
      </c>
      <c r="K34" s="29"/>
      <c r="L34" s="759"/>
      <c r="M34" s="759"/>
      <c r="N34" s="759"/>
      <c r="O34" s="759"/>
      <c r="P34" s="75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row>
    <row r="35" spans="1:250" s="5" customFormat="1" ht="33" customHeight="1">
      <c r="A35" s="29"/>
      <c r="B35" s="29" t="s">
        <v>489</v>
      </c>
      <c r="C35" s="915" t="s">
        <v>490</v>
      </c>
      <c r="D35" s="916"/>
      <c r="E35" s="121">
        <f>IF(E34="",0,($D$9/E34)*E31)</f>
        <v>0</v>
      </c>
      <c r="F35" s="121">
        <f t="shared" ref="F35:G35" si="1">IF(F34="",0,($D$9/F34)*F31)</f>
        <v>0</v>
      </c>
      <c r="G35" s="121">
        <f t="shared" si="1"/>
        <v>0</v>
      </c>
      <c r="H35" s="121">
        <f>IFERROR(_xlfn.XLOOKUP($D$6,'VBCCD Table'!$E$8:$E$66,'VBCCD Table'!$M$8:$M$66,,0),0)*D9/H34</f>
        <v>0</v>
      </c>
      <c r="I35" s="29"/>
      <c r="J35" s="29"/>
      <c r="K35" s="29"/>
      <c r="L35" s="759"/>
      <c r="M35" s="759"/>
      <c r="N35" s="759"/>
      <c r="O35" s="759"/>
      <c r="P35" s="75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row>
    <row r="36" spans="1:250" s="5" customFormat="1" ht="18" customHeight="1">
      <c r="A36" s="29"/>
      <c r="B36" s="29"/>
      <c r="C36" s="29"/>
      <c r="D36" s="29"/>
      <c r="E36" s="124"/>
      <c r="F36" s="124"/>
      <c r="G36" s="124"/>
      <c r="H36" s="124"/>
      <c r="I36" s="29"/>
      <c r="J36" s="29"/>
      <c r="K36" s="29"/>
      <c r="L36" s="759"/>
      <c r="M36" s="759"/>
      <c r="N36" s="759"/>
      <c r="O36" s="759"/>
      <c r="P36" s="75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row>
    <row r="37" spans="1:250" s="5" customFormat="1" ht="18" customHeight="1">
      <c r="A37" s="118" t="s">
        <v>491</v>
      </c>
      <c r="B37" s="29"/>
      <c r="C37" s="29"/>
      <c r="D37" s="29"/>
      <c r="E37" s="783"/>
      <c r="F37" s="783"/>
      <c r="G37" s="783"/>
      <c r="H37" s="783"/>
      <c r="I37" s="29"/>
      <c r="J37" s="29"/>
      <c r="K37" s="29"/>
      <c r="L37" s="759"/>
      <c r="M37" s="759"/>
      <c r="N37" s="759"/>
      <c r="O37" s="759"/>
      <c r="P37" s="75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row>
    <row r="38" spans="1:250" s="5" customFormat="1" ht="18" customHeight="1">
      <c r="A38" s="915" t="s">
        <v>492</v>
      </c>
      <c r="B38" s="915"/>
      <c r="C38" s="915"/>
      <c r="D38" s="915"/>
      <c r="E38" s="917"/>
      <c r="F38" s="917"/>
      <c r="G38" s="917"/>
      <c r="H38" s="917"/>
      <c r="I38" s="29"/>
      <c r="J38" s="29"/>
      <c r="K38" s="29"/>
      <c r="L38" s="759"/>
      <c r="M38" s="759"/>
      <c r="N38" s="759"/>
      <c r="O38" s="759"/>
      <c r="P38" s="75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row>
    <row r="39" spans="1:250" s="5" customFormat="1" ht="18" customHeight="1">
      <c r="A39" s="783"/>
      <c r="B39" s="783"/>
      <c r="C39" s="783"/>
      <c r="D39" s="783" t="s">
        <v>493</v>
      </c>
      <c r="E39" s="122" t="s">
        <v>494</v>
      </c>
      <c r="F39" s="122" t="s">
        <v>494</v>
      </c>
      <c r="G39" s="122" t="s">
        <v>494</v>
      </c>
      <c r="H39" s="122" t="s">
        <v>494</v>
      </c>
      <c r="I39" s="29"/>
      <c r="J39" s="29"/>
      <c r="K39" s="29"/>
      <c r="L39" s="759"/>
      <c r="M39" s="759"/>
      <c r="N39" s="759"/>
      <c r="O39" s="759"/>
      <c r="P39" s="75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row>
    <row r="40" spans="1:250" s="5" customFormat="1" ht="18" customHeight="1">
      <c r="A40" s="29"/>
      <c r="B40" s="29" t="s">
        <v>495</v>
      </c>
      <c r="C40" s="29" t="s">
        <v>496</v>
      </c>
      <c r="D40" s="120"/>
      <c r="E40" s="373"/>
      <c r="F40" s="373"/>
      <c r="G40" s="373"/>
      <c r="H40" s="373"/>
      <c r="I40" s="29"/>
      <c r="J40" s="29"/>
      <c r="K40" s="29"/>
      <c r="L40" s="759"/>
      <c r="M40" s="759"/>
      <c r="N40" s="759"/>
      <c r="O40" s="759"/>
      <c r="P40" s="75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row>
    <row r="41" spans="1:250" s="5" customFormat="1" ht="18" customHeight="1">
      <c r="A41" s="29"/>
      <c r="B41" s="29" t="s">
        <v>497</v>
      </c>
      <c r="C41" s="29" t="s">
        <v>498</v>
      </c>
      <c r="D41" s="120"/>
      <c r="E41" s="373"/>
      <c r="F41" s="373"/>
      <c r="G41" s="373"/>
      <c r="H41" s="373"/>
      <c r="I41" s="29"/>
      <c r="J41" s="29"/>
      <c r="K41" s="29"/>
      <c r="L41" s="759"/>
      <c r="M41" s="759"/>
      <c r="N41" s="759"/>
      <c r="O41" s="759"/>
      <c r="P41" s="75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row>
    <row r="42" spans="1:250" s="5" customFormat="1" ht="18" customHeight="1">
      <c r="A42" s="29"/>
      <c r="B42" s="29" t="s">
        <v>499</v>
      </c>
      <c r="C42" s="29" t="s">
        <v>500</v>
      </c>
      <c r="D42" s="120"/>
      <c r="E42" s="373"/>
      <c r="F42" s="373"/>
      <c r="G42" s="373"/>
      <c r="H42" s="373"/>
      <c r="I42" s="29"/>
      <c r="J42" s="29"/>
      <c r="K42" s="29"/>
      <c r="L42" s="759"/>
      <c r="M42" s="759"/>
      <c r="N42" s="759"/>
      <c r="O42" s="759"/>
      <c r="P42" s="75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row>
    <row r="43" spans="1:250" s="5" customFormat="1" ht="18" customHeight="1">
      <c r="A43" s="29"/>
      <c r="B43" s="29" t="s">
        <v>501</v>
      </c>
      <c r="C43" s="29" t="s">
        <v>502</v>
      </c>
      <c r="D43" s="120"/>
      <c r="E43" s="373"/>
      <c r="F43" s="373"/>
      <c r="G43" s="373"/>
      <c r="H43" s="373"/>
      <c r="I43" s="29"/>
      <c r="J43" s="29"/>
      <c r="K43" s="29"/>
      <c r="L43" s="759"/>
      <c r="M43" s="759"/>
      <c r="N43" s="759"/>
      <c r="O43" s="759"/>
      <c r="P43" s="75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row>
    <row r="44" spans="1:250" s="5" customFormat="1" ht="18" customHeight="1">
      <c r="A44" s="29"/>
      <c r="B44" s="29"/>
      <c r="C44" s="29"/>
      <c r="D44" s="29"/>
      <c r="E44" s="29"/>
      <c r="F44" s="29"/>
      <c r="G44" s="29"/>
      <c r="H44" s="29"/>
      <c r="I44" s="29"/>
      <c r="J44" s="29"/>
      <c r="K44" s="29"/>
      <c r="L44" s="759"/>
      <c r="M44" s="759"/>
      <c r="N44" s="759"/>
      <c r="O44" s="759"/>
      <c r="P44" s="75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row>
    <row r="45" spans="1:250" s="5" customFormat="1" ht="18" customHeight="1">
      <c r="A45" s="118" t="s">
        <v>503</v>
      </c>
      <c r="B45" s="29"/>
      <c r="C45" s="29"/>
      <c r="D45" s="29"/>
      <c r="E45" s="121">
        <f>IF(E35="","",E35+SUM(E40:E43))</f>
        <v>0</v>
      </c>
      <c r="F45" s="121">
        <f>IF(F35="","",F35+SUM(F40:F43))</f>
        <v>0</v>
      </c>
      <c r="G45" s="121">
        <f>IF(G35="","",G35+SUM(G40:G43))</f>
        <v>0</v>
      </c>
      <c r="H45" s="121">
        <f>IF(H35="","",H35+SUM(H40:H43))</f>
        <v>0</v>
      </c>
      <c r="I45" s="29"/>
      <c r="J45" s="29"/>
      <c r="K45" s="29"/>
      <c r="L45" s="759"/>
      <c r="M45" s="759"/>
      <c r="N45" s="759"/>
      <c r="O45" s="759"/>
      <c r="P45" s="75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row>
    <row r="46" spans="1:250" s="5" customFormat="1" ht="18" customHeight="1">
      <c r="A46" s="29"/>
      <c r="B46" s="29"/>
      <c r="C46" s="29"/>
      <c r="D46" s="783"/>
      <c r="E46" s="124"/>
      <c r="F46" s="124"/>
      <c r="G46" s="124"/>
      <c r="H46" s="124"/>
      <c r="I46" s="29"/>
      <c r="J46" s="29"/>
      <c r="K46" s="29"/>
      <c r="L46" s="759"/>
      <c r="M46" s="759"/>
      <c r="N46" s="759"/>
      <c r="O46" s="759"/>
      <c r="P46" s="75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row>
    <row r="47" spans="1:250" s="5" customFormat="1" ht="18" customHeight="1" thickBot="1">
      <c r="A47" s="118" t="s">
        <v>504</v>
      </c>
      <c r="B47" s="29"/>
      <c r="C47" s="29"/>
      <c r="D47" s="783"/>
      <c r="E47" s="783"/>
      <c r="F47" s="783"/>
      <c r="G47" s="783"/>
      <c r="H47" s="783"/>
      <c r="I47" s="29"/>
      <c r="J47" s="29"/>
      <c r="K47" s="29"/>
      <c r="L47" s="759"/>
      <c r="M47" s="759"/>
      <c r="N47" s="759"/>
      <c r="O47" s="759"/>
      <c r="P47" s="75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row>
    <row r="48" spans="1:250" s="5" customFormat="1" ht="18" customHeight="1" thickBot="1">
      <c r="A48" s="29"/>
      <c r="B48" s="29" t="s">
        <v>505</v>
      </c>
      <c r="C48" s="29" t="s">
        <v>506</v>
      </c>
      <c r="D48" s="29"/>
      <c r="E48" s="125">
        <f>IF(E45="","",E45)</f>
        <v>0</v>
      </c>
      <c r="F48" s="126">
        <f>IF(F45="","",F45)</f>
        <v>0</v>
      </c>
      <c r="G48" s="126">
        <f>IF(G45="","",G45)</f>
        <v>0</v>
      </c>
      <c r="H48" s="127">
        <f>IF(H45="","",H45)</f>
        <v>0</v>
      </c>
      <c r="I48" s="29"/>
      <c r="J48" s="29"/>
      <c r="K48" s="29"/>
      <c r="L48" s="759"/>
      <c r="M48" s="759"/>
      <c r="N48" s="759"/>
      <c r="O48" s="759"/>
      <c r="P48" s="75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row>
    <row r="49" spans="1:250" s="5" customFormat="1" ht="33" customHeight="1" thickBot="1">
      <c r="A49" s="29"/>
      <c r="B49" s="280" t="s">
        <v>507</v>
      </c>
      <c r="C49" s="919" t="s">
        <v>508</v>
      </c>
      <c r="D49" s="920"/>
      <c r="E49" s="319" t="e">
        <f t="array" ref="E49">(SUM(IF(E34:G34&lt;&gt;0,(E29:G29)*D9/(E34:G34)))+SUMPRODUCT(($E$40:$G$43)*($E$22:$G$22))+SUM(H35,(H40:H43))*H22*($H$13="Yes"))/(SUM(E22:G22)+SUMIF(H13,"Yes",H22))</f>
        <v>#DIV/0!</v>
      </c>
      <c r="F49" s="320"/>
      <c r="G49" s="320"/>
      <c r="H49" s="321"/>
      <c r="I49" s="29"/>
      <c r="J49" s="29"/>
      <c r="K49" s="29"/>
      <c r="L49" s="318"/>
      <c r="M49" s="759"/>
      <c r="N49" s="759"/>
      <c r="O49" s="759"/>
      <c r="P49" s="75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row>
    <row r="50" spans="1:250" s="5" customFormat="1" ht="18" customHeight="1">
      <c r="A50" s="29"/>
      <c r="B50" s="29"/>
      <c r="C50" s="29"/>
      <c r="D50" s="29"/>
      <c r="E50" s="783"/>
      <c r="F50" s="783"/>
      <c r="G50" s="783"/>
      <c r="H50" s="783"/>
      <c r="I50" s="29"/>
      <c r="J50" s="29"/>
      <c r="K50" s="29"/>
      <c r="L50" s="759"/>
      <c r="M50" s="759"/>
      <c r="N50" s="759"/>
      <c r="O50" s="759"/>
      <c r="P50" s="75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row>
    <row r="51" spans="1:250" ht="18" customHeight="1">
      <c r="G51" s="267"/>
      <c r="L51" s="759"/>
      <c r="M51" s="759"/>
      <c r="N51" s="759"/>
      <c r="O51" s="759"/>
      <c r="P51" s="759"/>
    </row>
    <row r="52" spans="1:250" ht="18" customHeight="1">
      <c r="E52" s="35"/>
      <c r="F52" s="296"/>
      <c r="G52" s="35"/>
      <c r="H52" s="35"/>
      <c r="L52" s="318"/>
      <c r="M52" s="759"/>
      <c r="N52" s="759"/>
      <c r="O52" s="759"/>
      <c r="P52" s="759"/>
    </row>
    <row r="53" spans="1:250" ht="18" customHeight="1">
      <c r="D53" s="279"/>
      <c r="E53" s="759"/>
      <c r="F53" s="759"/>
      <c r="G53" s="759"/>
      <c r="H53" s="759"/>
      <c r="L53" s="759"/>
      <c r="M53" s="759"/>
      <c r="N53" s="759"/>
      <c r="O53" s="759"/>
      <c r="P53" s="759"/>
    </row>
    <row r="54" spans="1:250" customFormat="1" ht="18" customHeight="1">
      <c r="A54" s="759"/>
      <c r="B54" s="759"/>
      <c r="C54" s="759"/>
      <c r="D54" s="759"/>
      <c r="E54" s="759"/>
      <c r="F54" s="317"/>
      <c r="G54" s="759"/>
      <c r="H54" s="759"/>
      <c r="I54" s="759"/>
      <c r="J54" s="759"/>
      <c r="K54" s="759"/>
      <c r="L54" s="310"/>
      <c r="M54" s="759"/>
      <c r="N54" s="759"/>
      <c r="O54" s="759"/>
      <c r="P54" s="759"/>
      <c r="Q54" s="759"/>
      <c r="R54" s="759"/>
      <c r="S54" s="759"/>
      <c r="T54" s="759"/>
      <c r="U54" s="759"/>
      <c r="V54" s="759"/>
      <c r="W54" s="759"/>
      <c r="X54" s="759"/>
      <c r="Y54" s="759"/>
      <c r="Z54" s="759"/>
      <c r="AA54" s="759"/>
      <c r="AB54" s="759"/>
      <c r="AC54" s="759"/>
      <c r="AD54" s="759"/>
      <c r="AE54" s="759"/>
      <c r="AF54" s="759"/>
      <c r="AG54" s="759"/>
      <c r="AH54" s="759"/>
      <c r="AI54" s="759"/>
      <c r="AJ54" s="759"/>
      <c r="AK54" s="759"/>
      <c r="AL54" s="759"/>
      <c r="AM54" s="759"/>
      <c r="AN54" s="759"/>
      <c r="AO54" s="759"/>
      <c r="AP54" s="759"/>
      <c r="AQ54" s="759"/>
      <c r="AR54" s="759"/>
      <c r="AS54" s="759"/>
      <c r="AT54" s="759"/>
      <c r="AU54" s="759"/>
      <c r="AV54" s="759"/>
      <c r="AW54" s="759"/>
      <c r="AX54" s="759"/>
      <c r="AY54" s="759"/>
      <c r="AZ54" s="759"/>
      <c r="BA54" s="759"/>
      <c r="BB54" s="759"/>
      <c r="BC54" s="759"/>
      <c r="BD54" s="759"/>
      <c r="BE54" s="759"/>
      <c r="BF54" s="759"/>
      <c r="BG54" s="759"/>
      <c r="BH54" s="759"/>
      <c r="BI54" s="759"/>
      <c r="BJ54" s="759"/>
      <c r="BK54" s="759"/>
      <c r="BL54" s="759"/>
      <c r="BM54" s="759"/>
      <c r="BN54" s="759"/>
      <c r="BO54" s="759"/>
      <c r="BP54" s="759"/>
      <c r="BQ54" s="759"/>
      <c r="BR54" s="759"/>
      <c r="BS54" s="759"/>
      <c r="BT54" s="759"/>
      <c r="BU54" s="759"/>
      <c r="BV54" s="759"/>
      <c r="BW54" s="759"/>
      <c r="BX54" s="759"/>
      <c r="BY54" s="759"/>
      <c r="BZ54" s="759"/>
      <c r="CA54" s="759"/>
      <c r="CB54" s="759"/>
      <c r="CC54" s="759"/>
      <c r="CD54" s="759"/>
      <c r="CE54" s="759"/>
      <c r="CF54" s="759"/>
      <c r="CG54" s="759"/>
      <c r="CH54" s="759"/>
      <c r="CI54" s="759"/>
      <c r="CJ54" s="759"/>
      <c r="CK54" s="759"/>
      <c r="CL54" s="759"/>
      <c r="CM54" s="759"/>
      <c r="CN54" s="759"/>
      <c r="CO54" s="759"/>
      <c r="CP54" s="759"/>
      <c r="CQ54" s="759"/>
      <c r="CR54" s="759"/>
      <c r="CS54" s="759"/>
      <c r="CT54" s="759"/>
      <c r="CU54" s="759"/>
      <c r="CV54" s="759"/>
      <c r="CW54" s="759"/>
      <c r="CX54" s="759"/>
      <c r="CY54" s="759"/>
      <c r="CZ54" s="759"/>
      <c r="DA54" s="759"/>
      <c r="DB54" s="759"/>
      <c r="DC54" s="759"/>
      <c r="DD54" s="759"/>
      <c r="DE54" s="759"/>
      <c r="DF54" s="759"/>
      <c r="DG54" s="759"/>
      <c r="DH54" s="759"/>
      <c r="DI54" s="759"/>
      <c r="DJ54" s="759"/>
      <c r="DK54" s="759"/>
      <c r="DL54" s="759"/>
      <c r="DM54" s="759"/>
      <c r="DN54" s="759"/>
      <c r="DO54" s="759"/>
      <c r="DP54" s="759"/>
      <c r="DQ54" s="759"/>
      <c r="DR54" s="759"/>
      <c r="DS54" s="759"/>
      <c r="DT54" s="759"/>
      <c r="DU54" s="759"/>
      <c r="DV54" s="759"/>
      <c r="DW54" s="759"/>
      <c r="DX54" s="759"/>
      <c r="DY54" s="759"/>
      <c r="DZ54" s="759"/>
      <c r="EA54" s="759"/>
      <c r="EB54" s="759"/>
      <c r="EC54" s="759"/>
      <c r="ED54" s="759"/>
      <c r="EE54" s="759"/>
      <c r="EF54" s="759"/>
      <c r="EG54" s="759"/>
      <c r="EH54" s="759"/>
      <c r="EI54" s="759"/>
      <c r="EJ54" s="759"/>
      <c r="EK54" s="759"/>
      <c r="EL54" s="759"/>
      <c r="EM54" s="759"/>
      <c r="EN54" s="759"/>
      <c r="EO54" s="759"/>
      <c r="EP54" s="759"/>
      <c r="EQ54" s="759"/>
      <c r="ER54" s="759"/>
      <c r="ES54" s="759"/>
      <c r="ET54" s="759"/>
      <c r="EU54" s="759"/>
      <c r="EV54" s="759"/>
      <c r="EW54" s="759"/>
      <c r="EX54" s="759"/>
      <c r="EY54" s="759"/>
      <c r="EZ54" s="759"/>
      <c r="FA54" s="759"/>
      <c r="FB54" s="759"/>
      <c r="FC54" s="759"/>
      <c r="FD54" s="759"/>
      <c r="FE54" s="759"/>
      <c r="FF54" s="759"/>
      <c r="FG54" s="759"/>
      <c r="FH54" s="759"/>
      <c r="FI54" s="759"/>
      <c r="FJ54" s="759"/>
      <c r="FK54" s="759"/>
      <c r="FL54" s="759"/>
      <c r="FM54" s="759"/>
      <c r="FN54" s="759"/>
      <c r="FO54" s="759"/>
      <c r="FP54" s="759"/>
      <c r="FQ54" s="759"/>
      <c r="FR54" s="759"/>
      <c r="FS54" s="759"/>
      <c r="FT54" s="759"/>
      <c r="FU54" s="759"/>
      <c r="FV54" s="759"/>
      <c r="FW54" s="759"/>
      <c r="FX54" s="759"/>
      <c r="FY54" s="759"/>
      <c r="FZ54" s="759"/>
      <c r="GA54" s="759"/>
      <c r="GB54" s="759"/>
      <c r="GC54" s="759"/>
      <c r="GD54" s="759"/>
      <c r="GE54" s="759"/>
      <c r="GF54" s="759"/>
      <c r="GG54" s="759"/>
      <c r="GH54" s="759"/>
      <c r="GI54" s="759"/>
      <c r="GJ54" s="759"/>
      <c r="GK54" s="759"/>
      <c r="GL54" s="759"/>
      <c r="GM54" s="759"/>
      <c r="GN54" s="759"/>
      <c r="GO54" s="759"/>
      <c r="GP54" s="759"/>
      <c r="GQ54" s="759"/>
      <c r="GR54" s="759"/>
      <c r="GS54" s="759"/>
      <c r="GT54" s="759"/>
      <c r="GU54" s="759"/>
      <c r="GV54" s="759"/>
      <c r="GW54" s="759"/>
      <c r="GX54" s="759"/>
      <c r="GY54" s="759"/>
      <c r="GZ54" s="759"/>
      <c r="HA54" s="759"/>
      <c r="HB54" s="759"/>
      <c r="HC54" s="759"/>
      <c r="HD54" s="759"/>
      <c r="HE54" s="759"/>
      <c r="HF54" s="759"/>
      <c r="HG54" s="759"/>
      <c r="HH54" s="759"/>
      <c r="HI54" s="759"/>
      <c r="HJ54" s="759"/>
      <c r="HK54" s="759"/>
      <c r="HL54" s="759"/>
      <c r="HM54" s="759"/>
      <c r="HN54" s="759"/>
      <c r="HO54" s="759"/>
      <c r="HP54" s="759"/>
      <c r="HQ54" s="759"/>
      <c r="HR54" s="759"/>
      <c r="HS54" s="759"/>
      <c r="HT54" s="759"/>
      <c r="HU54" s="759"/>
      <c r="HV54" s="759"/>
      <c r="HW54" s="759"/>
      <c r="HX54" s="759"/>
      <c r="HY54" s="759"/>
      <c r="HZ54" s="759"/>
      <c r="IA54" s="759"/>
      <c r="IB54" s="759"/>
      <c r="IC54" s="759"/>
      <c r="ID54" s="759"/>
      <c r="IE54" s="759"/>
      <c r="IF54" s="759"/>
      <c r="IG54" s="759"/>
      <c r="IH54" s="759"/>
      <c r="II54" s="759"/>
      <c r="IJ54" s="759"/>
      <c r="IK54" s="759"/>
      <c r="IL54" s="759"/>
      <c r="IM54" s="759"/>
      <c r="IN54" s="759"/>
      <c r="IO54" s="759"/>
      <c r="IP54" s="759"/>
    </row>
    <row r="55" spans="1:250">
      <c r="A55" s="29"/>
      <c r="D55" s="129"/>
      <c r="E55" s="759"/>
      <c r="F55" s="759"/>
      <c r="G55" s="759"/>
      <c r="H55" s="759"/>
      <c r="L55" s="759"/>
      <c r="M55" s="759"/>
      <c r="N55" s="759"/>
      <c r="O55" s="759"/>
      <c r="P55" s="759"/>
    </row>
    <row r="56" spans="1:250">
      <c r="E56" s="759"/>
      <c r="F56" s="759"/>
      <c r="G56" s="759"/>
      <c r="H56" s="759"/>
      <c r="L56" s="759"/>
      <c r="M56" s="759"/>
      <c r="N56" s="759"/>
      <c r="O56" s="759"/>
      <c r="P56" s="759"/>
    </row>
    <row r="57" spans="1:250">
      <c r="E57" s="279"/>
      <c r="F57" s="279"/>
      <c r="G57" s="279"/>
      <c r="H57" s="279"/>
      <c r="L57" s="318"/>
      <c r="M57" s="759"/>
      <c r="N57" s="759"/>
      <c r="O57" s="759"/>
      <c r="P57" s="759"/>
    </row>
    <row r="58" spans="1:250">
      <c r="E58" s="279"/>
      <c r="F58" s="279"/>
      <c r="G58" s="279"/>
      <c r="H58" s="279"/>
      <c r="L58" s="759"/>
      <c r="M58" s="759"/>
      <c r="N58" s="759"/>
      <c r="O58" s="759"/>
      <c r="P58" s="759"/>
    </row>
    <row r="61" spans="1:250">
      <c r="D61" s="279"/>
      <c r="E61" s="279"/>
      <c r="F61" s="279"/>
      <c r="G61" s="279"/>
      <c r="H61" s="279"/>
      <c r="J61" s="279"/>
      <c r="L61" s="759"/>
      <c r="M61" s="759"/>
      <c r="N61" s="759"/>
      <c r="O61" s="759"/>
      <c r="P61" s="759"/>
    </row>
    <row r="63" spans="1:250">
      <c r="E63" s="279"/>
      <c r="F63" s="279"/>
      <c r="G63" s="279"/>
      <c r="H63" s="279"/>
      <c r="L63" s="759"/>
      <c r="M63" s="759"/>
      <c r="N63" s="759"/>
      <c r="O63" s="759"/>
      <c r="P63" s="759"/>
    </row>
  </sheetData>
  <sheetProtection algorithmName="SHA-512" hashValue="ZF0W9pscIECP7MvzjjgkZjtPh4gu3ZJXrgvdDnZXfK5De6mGCcfG31rB/r/h3Uz2rFbW6Es/vN9AZq7vKQZCcg==" saltValue="y5tdjP1/ivLtEsI3bGQeUw==" spinCount="100000" sheet="1" autoFilter="0"/>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79" priority="13" operator="containsText" text="Selected">
      <formula>NOT(ISERROR(SEARCH("Selected",C10)))</formula>
    </cfRule>
    <cfRule type="containsText" dxfId="178" priority="14" operator="containsText" text="No">
      <formula>NOT(ISERROR(SEARCH("No",C10)))</formula>
    </cfRule>
  </conditionalFormatting>
  <conditionalFormatting sqref="E14">
    <cfRule type="expression" dxfId="177" priority="7">
      <formula>$D$4&lt;&gt;""</formula>
    </cfRule>
  </conditionalFormatting>
  <conditionalFormatting sqref="E15:H49">
    <cfRule type="expression" dxfId="176" priority="3">
      <formula>$D$4=""</formula>
    </cfRule>
  </conditionalFormatting>
  <conditionalFormatting sqref="H13">
    <cfRule type="containsText" dxfId="175" priority="1" operator="containsText" text="No">
      <formula>NOT(ISERROR(SEARCH("No",H13)))</formula>
    </cfRule>
    <cfRule type="containsText" dxfId="174" priority="2" operator="containsText" text="Yes">
      <formula>NOT(ISERROR(SEARCH("Yes",H13)))</formula>
    </cfRule>
  </conditionalFormatting>
  <conditionalFormatting sqref="H22">
    <cfRule type="expression" dxfId="173" priority="10">
      <formula>$H$13="No"</formula>
    </cfRule>
  </conditionalFormatting>
  <dataValidations count="3">
    <dataValidation type="list" allowBlank="1" showInputMessage="1" showErrorMessage="1" promptTitle="NO BLANKS" prompt="Select from drop down list." sqref="D4" xr:uid="{F5791CDC-B4B1-4A0A-9121-CB9722B891D9}">
      <formula1>CM_ProjectType</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2987B00D-2B3A-495A-B928-1B20B45AFA54}">
      <formula1>dd_BldgTypes2</formula1>
    </dataValidation>
    <dataValidation type="list" allowBlank="1" showInputMessage="1" showErrorMessage="1" sqref="H13" xr:uid="{B1B12702-1102-4BB7-8BCB-B662B547541B}">
      <formula1>$AA$1:$AA$3</formula1>
    </dataValidation>
  </dataValidations>
  <hyperlinks>
    <hyperlink ref="A9:B9" location="HCI!GF6" display="HCI!GF6" xr:uid="{E98763C4-FA46-4F16-ACB0-4FE42B2E8D10}"/>
    <hyperlink ref="A1" location="Index!A1" display="&lt; Return to Index" xr:uid="{0BF903E2-CE55-4D32-849B-0FAF033634E9}"/>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F39E9C2F-B214-46C2-9E46-675ECFFBAC74}">
          <x14:formula1>
            <xm:f>'VBCCD BldgTypes'!$E$3:$Y$3</xm:f>
          </x14:formula1>
          <xm:sqref>D5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249977111117893"/>
    <pageSetUpPr fitToPage="1"/>
  </sheetPr>
  <dimension ref="A1:J74"/>
  <sheetViews>
    <sheetView showGridLines="0" workbookViewId="0">
      <selection activeCell="F16" sqref="F16"/>
    </sheetView>
  </sheetViews>
  <sheetFormatPr defaultColWidth="9.140625" defaultRowHeight="12.75"/>
  <cols>
    <col min="1" max="1" width="7.5703125" style="29" customWidth="1"/>
    <col min="2" max="2" width="32.85546875" style="42" customWidth="1"/>
    <col min="3" max="3" width="15.7109375" style="31" customWidth="1"/>
    <col min="4" max="5" width="15.7109375" style="32" customWidth="1"/>
    <col min="6" max="6" width="57.5703125" style="42" customWidth="1"/>
    <col min="7" max="16384" width="9.140625" style="29"/>
  </cols>
  <sheetData>
    <row r="1" spans="1:10" s="99" customFormat="1" ht="21.95" customHeight="1">
      <c r="A1" s="862" t="s">
        <v>48</v>
      </c>
      <c r="B1" s="863"/>
      <c r="C1" s="97"/>
      <c r="D1" s="98"/>
      <c r="E1" s="98"/>
      <c r="F1" s="96"/>
    </row>
    <row r="2" spans="1:10" s="15" customFormat="1" ht="21.95" customHeight="1">
      <c r="A2" s="25"/>
      <c r="B2" s="43"/>
      <c r="C2" s="26"/>
      <c r="D2" s="27"/>
      <c r="F2" s="38"/>
      <c r="G2" s="28"/>
    </row>
    <row r="3" spans="1:10" s="15" customFormat="1" ht="21.95" customHeight="1">
      <c r="A3" s="906"/>
      <c r="B3" s="907"/>
      <c r="D3" s="20"/>
      <c r="F3" s="38"/>
    </row>
    <row r="4" spans="1:10" s="15" customFormat="1" ht="21.95" customHeight="1">
      <c r="A4" s="779"/>
      <c r="B4" s="44" t="s">
        <v>386</v>
      </c>
      <c r="D4" s="20"/>
      <c r="F4" s="38"/>
    </row>
    <row r="5" spans="1:10" ht="21.95" customHeight="1">
      <c r="B5" s="1203"/>
      <c r="C5" s="1204"/>
      <c r="D5" s="1187" t="s">
        <v>387</v>
      </c>
      <c r="E5" s="1188" t="e">
        <f>E7/E6</f>
        <v>#DIV/0!</v>
      </c>
      <c r="F5" s="1189"/>
    </row>
    <row r="6" spans="1:10" ht="21.95" customHeight="1">
      <c r="B6" s="947"/>
      <c r="C6" s="948"/>
      <c r="D6" s="1190" t="s">
        <v>388</v>
      </c>
      <c r="E6" s="1191"/>
      <c r="F6" s="1192"/>
    </row>
    <row r="7" spans="1:10" ht="21.95" customHeight="1">
      <c r="B7" s="949"/>
      <c r="C7" s="950"/>
      <c r="D7" s="1190" t="s">
        <v>376</v>
      </c>
      <c r="E7" s="1193">
        <f>SUM(E10:E226)</f>
        <v>0</v>
      </c>
      <c r="F7" s="1192"/>
    </row>
    <row r="8" spans="1:10" ht="21.95" customHeight="1">
      <c r="B8" s="1167">
        <f>'U-Type 3 Attr'!D5</f>
        <v>0</v>
      </c>
      <c r="C8" s="1168"/>
      <c r="D8" s="1169"/>
      <c r="E8" s="1170"/>
      <c r="F8" s="1168"/>
    </row>
    <row r="9" spans="1:10" s="30" customFormat="1" ht="21.95" customHeight="1">
      <c r="B9" s="1194" t="s">
        <v>389</v>
      </c>
      <c r="C9" s="1195" t="s">
        <v>369</v>
      </c>
      <c r="D9" s="1196" t="s">
        <v>390</v>
      </c>
      <c r="E9" s="1196" t="s">
        <v>376</v>
      </c>
      <c r="F9" s="1197" t="s">
        <v>91</v>
      </c>
    </row>
    <row r="10" spans="1:10" ht="21.95" customHeight="1">
      <c r="B10" s="1198"/>
      <c r="C10" s="1199"/>
      <c r="D10" s="1200"/>
      <c r="E10" s="1193" t="str">
        <f>IF(C10="","",D10*C10)</f>
        <v/>
      </c>
      <c r="F10" s="1198"/>
    </row>
    <row r="11" spans="1:10" ht="21.95" customHeight="1">
      <c r="B11" s="1198"/>
      <c r="C11" s="1199"/>
      <c r="D11" s="1200"/>
      <c r="E11" s="1193" t="str">
        <f t="shared" ref="E11:E74" si="0">IF(C11="","",D11*C11)</f>
        <v/>
      </c>
      <c r="F11" s="1198"/>
    </row>
    <row r="12" spans="1:10" ht="21.95" customHeight="1">
      <c r="B12" s="1198"/>
      <c r="C12" s="1199"/>
      <c r="D12" s="1200"/>
      <c r="E12" s="1193" t="str">
        <f t="shared" si="0"/>
        <v/>
      </c>
      <c r="F12" s="1198"/>
    </row>
    <row r="13" spans="1:10" ht="21.95" customHeight="1">
      <c r="B13" s="1198"/>
      <c r="C13" s="1199"/>
      <c r="D13" s="1200"/>
      <c r="E13" s="1193" t="str">
        <f t="shared" si="0"/>
        <v/>
      </c>
      <c r="F13" s="1198"/>
      <c r="J13" s="58"/>
    </row>
    <row r="14" spans="1:10" ht="21.95" customHeight="1">
      <c r="B14" s="1198"/>
      <c r="C14" s="1199"/>
      <c r="D14" s="1200"/>
      <c r="E14" s="1193" t="str">
        <f t="shared" si="0"/>
        <v/>
      </c>
      <c r="F14" s="1198"/>
    </row>
    <row r="15" spans="1:10" ht="21.95" customHeight="1">
      <c r="B15" s="1198"/>
      <c r="C15" s="1199"/>
      <c r="D15" s="1200"/>
      <c r="E15" s="1193" t="str">
        <f t="shared" si="0"/>
        <v/>
      </c>
      <c r="F15" s="1198"/>
    </row>
    <row r="16" spans="1:10" ht="21.95" customHeight="1">
      <c r="B16" s="1198"/>
      <c r="C16" s="1199"/>
      <c r="D16" s="1200"/>
      <c r="E16" s="1193" t="str">
        <f t="shared" si="0"/>
        <v/>
      </c>
      <c r="F16" s="1198"/>
    </row>
    <row r="17" spans="2:6" ht="21.95" customHeight="1">
      <c r="B17" s="1198"/>
      <c r="C17" s="1199"/>
      <c r="D17" s="1200"/>
      <c r="E17" s="1193" t="str">
        <f t="shared" si="0"/>
        <v/>
      </c>
      <c r="F17" s="1198"/>
    </row>
    <row r="18" spans="2:6" ht="21.95" customHeight="1">
      <c r="B18" s="1198"/>
      <c r="C18" s="1199"/>
      <c r="D18" s="1200"/>
      <c r="E18" s="1193" t="str">
        <f t="shared" si="0"/>
        <v/>
      </c>
      <c r="F18" s="1198"/>
    </row>
    <row r="19" spans="2:6" ht="21.95" customHeight="1">
      <c r="B19" s="1198"/>
      <c r="C19" s="1199"/>
      <c r="D19" s="1200"/>
      <c r="E19" s="1193" t="str">
        <f t="shared" si="0"/>
        <v/>
      </c>
      <c r="F19" s="1198"/>
    </row>
    <row r="20" spans="2:6" ht="21.95" customHeight="1">
      <c r="B20" s="1198"/>
      <c r="C20" s="1199"/>
      <c r="D20" s="1200"/>
      <c r="E20" s="1193" t="str">
        <f t="shared" si="0"/>
        <v/>
      </c>
      <c r="F20" s="1198"/>
    </row>
    <row r="21" spans="2:6" ht="21.95" customHeight="1">
      <c r="B21" s="1198"/>
      <c r="C21" s="1199"/>
      <c r="D21" s="1200"/>
      <c r="E21" s="1193" t="str">
        <f t="shared" si="0"/>
        <v/>
      </c>
      <c r="F21" s="1198"/>
    </row>
    <row r="22" spans="2:6" ht="21.95" customHeight="1">
      <c r="B22" s="1198"/>
      <c r="C22" s="1199"/>
      <c r="D22" s="1200"/>
      <c r="E22" s="1193" t="str">
        <f t="shared" si="0"/>
        <v/>
      </c>
      <c r="F22" s="1198"/>
    </row>
    <row r="23" spans="2:6" ht="21.95" customHeight="1">
      <c r="B23" s="1198"/>
      <c r="C23" s="1199"/>
      <c r="D23" s="1200"/>
      <c r="E23" s="1193" t="str">
        <f t="shared" si="0"/>
        <v/>
      </c>
      <c r="F23" s="1198"/>
    </row>
    <row r="24" spans="2:6" ht="21.95" customHeight="1">
      <c r="B24" s="1198"/>
      <c r="C24" s="1199"/>
      <c r="D24" s="1200"/>
      <c r="E24" s="1193" t="str">
        <f t="shared" si="0"/>
        <v/>
      </c>
      <c r="F24" s="1198"/>
    </row>
    <row r="25" spans="2:6" ht="21.95" customHeight="1">
      <c r="B25" s="1198"/>
      <c r="C25" s="1199"/>
      <c r="D25" s="1200"/>
      <c r="E25" s="1193" t="str">
        <f t="shared" si="0"/>
        <v/>
      </c>
      <c r="F25" s="1198"/>
    </row>
    <row r="26" spans="2:6" ht="21.95" customHeight="1">
      <c r="B26" s="1198"/>
      <c r="C26" s="1199"/>
      <c r="D26" s="1200"/>
      <c r="E26" s="1193" t="str">
        <f t="shared" si="0"/>
        <v/>
      </c>
      <c r="F26" s="1198"/>
    </row>
    <row r="27" spans="2:6" ht="21.95" customHeight="1">
      <c r="B27" s="1198"/>
      <c r="C27" s="1199"/>
      <c r="D27" s="1200"/>
      <c r="E27" s="1193" t="str">
        <f t="shared" si="0"/>
        <v/>
      </c>
      <c r="F27" s="1198"/>
    </row>
    <row r="28" spans="2:6" ht="21.95" customHeight="1">
      <c r="B28" s="1198"/>
      <c r="C28" s="1199"/>
      <c r="D28" s="1200"/>
      <c r="E28" s="1193" t="str">
        <f t="shared" si="0"/>
        <v/>
      </c>
      <c r="F28" s="1198"/>
    </row>
    <row r="29" spans="2:6" ht="21.95" customHeight="1">
      <c r="B29" s="1198"/>
      <c r="C29" s="1199"/>
      <c r="D29" s="1200"/>
      <c r="E29" s="1193" t="str">
        <f t="shared" si="0"/>
        <v/>
      </c>
      <c r="F29" s="1198"/>
    </row>
    <row r="30" spans="2:6" ht="21.95" customHeight="1">
      <c r="B30" s="1198"/>
      <c r="C30" s="1199"/>
      <c r="D30" s="1200"/>
      <c r="E30" s="1193" t="str">
        <f t="shared" si="0"/>
        <v/>
      </c>
      <c r="F30" s="1198"/>
    </row>
    <row r="31" spans="2:6" ht="21.95" customHeight="1">
      <c r="B31" s="1198"/>
      <c r="C31" s="1199"/>
      <c r="D31" s="1200"/>
      <c r="E31" s="1193" t="str">
        <f t="shared" si="0"/>
        <v/>
      </c>
      <c r="F31" s="1198"/>
    </row>
    <row r="32" spans="2:6" ht="21.95" customHeight="1">
      <c r="B32" s="1198"/>
      <c r="C32" s="1199"/>
      <c r="D32" s="1200"/>
      <c r="E32" s="1193" t="str">
        <f t="shared" si="0"/>
        <v/>
      </c>
      <c r="F32" s="1198"/>
    </row>
    <row r="33" spans="2:6" ht="21.95" customHeight="1">
      <c r="B33" s="1198"/>
      <c r="C33" s="1199"/>
      <c r="D33" s="1200"/>
      <c r="E33" s="1193" t="str">
        <f t="shared" si="0"/>
        <v/>
      </c>
      <c r="F33" s="1198"/>
    </row>
    <row r="34" spans="2:6" ht="21.95" customHeight="1">
      <c r="B34" s="1198"/>
      <c r="C34" s="1199"/>
      <c r="D34" s="1200"/>
      <c r="E34" s="1193" t="str">
        <f t="shared" si="0"/>
        <v/>
      </c>
      <c r="F34" s="1198"/>
    </row>
    <row r="35" spans="2:6" ht="21.95" customHeight="1">
      <c r="B35" s="1198"/>
      <c r="C35" s="1199"/>
      <c r="D35" s="1200"/>
      <c r="E35" s="1193" t="str">
        <f t="shared" si="0"/>
        <v/>
      </c>
      <c r="F35" s="1198"/>
    </row>
    <row r="36" spans="2:6" ht="21.95" customHeight="1">
      <c r="B36" s="1198"/>
      <c r="C36" s="1199"/>
      <c r="D36" s="1200"/>
      <c r="E36" s="1193" t="str">
        <f t="shared" si="0"/>
        <v/>
      </c>
      <c r="F36" s="1198"/>
    </row>
    <row r="37" spans="2:6" ht="21.95" customHeight="1">
      <c r="B37" s="1198"/>
      <c r="C37" s="1199"/>
      <c r="D37" s="1200"/>
      <c r="E37" s="1193" t="str">
        <f t="shared" si="0"/>
        <v/>
      </c>
      <c r="F37" s="1198"/>
    </row>
    <row r="38" spans="2:6" ht="21.95" customHeight="1">
      <c r="B38" s="1198"/>
      <c r="C38" s="1199"/>
      <c r="D38" s="1200"/>
      <c r="E38" s="1193" t="str">
        <f t="shared" si="0"/>
        <v/>
      </c>
      <c r="F38" s="1198"/>
    </row>
    <row r="39" spans="2:6" ht="21.95" customHeight="1">
      <c r="B39" s="1198"/>
      <c r="C39" s="1199"/>
      <c r="D39" s="1200"/>
      <c r="E39" s="1193" t="str">
        <f t="shared" si="0"/>
        <v/>
      </c>
      <c r="F39" s="1198"/>
    </row>
    <row r="40" spans="2:6" ht="21.95" customHeight="1">
      <c r="B40" s="1198"/>
      <c r="C40" s="1199"/>
      <c r="D40" s="1200"/>
      <c r="E40" s="1193" t="str">
        <f t="shared" si="0"/>
        <v/>
      </c>
      <c r="F40" s="1198"/>
    </row>
    <row r="41" spans="2:6" ht="21.95" customHeight="1">
      <c r="B41" s="1198"/>
      <c r="C41" s="1199"/>
      <c r="D41" s="1200"/>
      <c r="E41" s="1193" t="str">
        <f t="shared" si="0"/>
        <v/>
      </c>
      <c r="F41" s="1198"/>
    </row>
    <row r="42" spans="2:6" ht="21.95" customHeight="1">
      <c r="B42" s="1198"/>
      <c r="C42" s="1199"/>
      <c r="D42" s="1200"/>
      <c r="E42" s="1193" t="str">
        <f t="shared" ref="E42:E52" si="1">IF(C42="","",D42*C42)</f>
        <v/>
      </c>
      <c r="F42" s="1198"/>
    </row>
    <row r="43" spans="2:6" ht="21.95" customHeight="1">
      <c r="B43" s="1198"/>
      <c r="C43" s="1199"/>
      <c r="D43" s="1200"/>
      <c r="E43" s="1193" t="str">
        <f t="shared" si="1"/>
        <v/>
      </c>
      <c r="F43" s="1198"/>
    </row>
    <row r="44" spans="2:6" ht="21.95" customHeight="1">
      <c r="B44" s="1198"/>
      <c r="C44" s="1199"/>
      <c r="D44" s="1200"/>
      <c r="E44" s="1193" t="str">
        <f t="shared" si="1"/>
        <v/>
      </c>
      <c r="F44" s="1198"/>
    </row>
    <row r="45" spans="2:6" ht="21.95" customHeight="1">
      <c r="B45" s="1198"/>
      <c r="C45" s="1199"/>
      <c r="D45" s="1200"/>
      <c r="E45" s="1193" t="str">
        <f t="shared" si="1"/>
        <v/>
      </c>
      <c r="F45" s="1198"/>
    </row>
    <row r="46" spans="2:6" ht="21.95" customHeight="1">
      <c r="B46" s="1198"/>
      <c r="C46" s="1199"/>
      <c r="D46" s="1200"/>
      <c r="E46" s="1193" t="str">
        <f t="shared" si="1"/>
        <v/>
      </c>
      <c r="F46" s="1198"/>
    </row>
    <row r="47" spans="2:6" ht="21.95" customHeight="1">
      <c r="B47" s="1198"/>
      <c r="C47" s="1199"/>
      <c r="D47" s="1200"/>
      <c r="E47" s="1193" t="str">
        <f t="shared" si="1"/>
        <v/>
      </c>
      <c r="F47" s="1198"/>
    </row>
    <row r="48" spans="2:6" ht="21.95" customHeight="1">
      <c r="B48" s="1198"/>
      <c r="C48" s="1199"/>
      <c r="D48" s="1200"/>
      <c r="E48" s="1193" t="str">
        <f t="shared" si="1"/>
        <v/>
      </c>
      <c r="F48" s="1198"/>
    </row>
    <row r="49" spans="2:6" ht="21.95" customHeight="1">
      <c r="B49" s="1198"/>
      <c r="C49" s="1199"/>
      <c r="D49" s="1200"/>
      <c r="E49" s="1193" t="str">
        <f t="shared" si="1"/>
        <v/>
      </c>
      <c r="F49" s="1198"/>
    </row>
    <row r="50" spans="2:6" ht="21.95" customHeight="1">
      <c r="B50" s="1198"/>
      <c r="C50" s="1199"/>
      <c r="D50" s="1200"/>
      <c r="E50" s="1193" t="str">
        <f t="shared" si="1"/>
        <v/>
      </c>
      <c r="F50" s="1198"/>
    </row>
    <row r="51" spans="2:6" ht="21.95" customHeight="1">
      <c r="B51" s="1198"/>
      <c r="C51" s="1199"/>
      <c r="D51" s="1200"/>
      <c r="E51" s="1193" t="str">
        <f t="shared" si="1"/>
        <v/>
      </c>
      <c r="F51" s="1198"/>
    </row>
    <row r="52" spans="2:6" ht="21.95" customHeight="1">
      <c r="B52" s="1198"/>
      <c r="C52" s="1199"/>
      <c r="D52" s="1200"/>
      <c r="E52" s="1193" t="str">
        <f t="shared" si="1"/>
        <v/>
      </c>
      <c r="F52" s="1198"/>
    </row>
    <row r="53" spans="2:6">
      <c r="B53" s="783"/>
      <c r="E53" s="32" t="str">
        <f t="shared" si="0"/>
        <v/>
      </c>
      <c r="F53" s="783"/>
    </row>
    <row r="54" spans="2:6">
      <c r="B54" s="783"/>
      <c r="E54" s="32" t="str">
        <f t="shared" si="0"/>
        <v/>
      </c>
      <c r="F54" s="783"/>
    </row>
    <row r="55" spans="2:6">
      <c r="B55" s="783"/>
      <c r="E55" s="32" t="str">
        <f t="shared" si="0"/>
        <v/>
      </c>
      <c r="F55" s="783"/>
    </row>
    <row r="56" spans="2:6">
      <c r="B56" s="783"/>
      <c r="E56" s="32" t="str">
        <f t="shared" si="0"/>
        <v/>
      </c>
      <c r="F56" s="783"/>
    </row>
    <row r="57" spans="2:6">
      <c r="B57" s="783"/>
      <c r="E57" s="32" t="str">
        <f t="shared" si="0"/>
        <v/>
      </c>
      <c r="F57" s="783"/>
    </row>
    <row r="58" spans="2:6">
      <c r="B58" s="783"/>
      <c r="E58" s="32" t="str">
        <f t="shared" si="0"/>
        <v/>
      </c>
      <c r="F58" s="783"/>
    </row>
    <row r="59" spans="2:6">
      <c r="B59" s="783"/>
      <c r="E59" s="32" t="str">
        <f t="shared" si="0"/>
        <v/>
      </c>
      <c r="F59" s="783"/>
    </row>
    <row r="60" spans="2:6">
      <c r="B60" s="783"/>
      <c r="E60" s="32" t="str">
        <f t="shared" si="0"/>
        <v/>
      </c>
      <c r="F60" s="783"/>
    </row>
    <row r="61" spans="2:6">
      <c r="B61" s="783"/>
      <c r="E61" s="32" t="str">
        <f t="shared" si="0"/>
        <v/>
      </c>
      <c r="F61" s="783"/>
    </row>
    <row r="62" spans="2:6">
      <c r="B62" s="783"/>
      <c r="E62" s="32" t="str">
        <f t="shared" si="0"/>
        <v/>
      </c>
      <c r="F62" s="783"/>
    </row>
    <row r="63" spans="2:6">
      <c r="B63" s="783"/>
      <c r="E63" s="32" t="str">
        <f t="shared" si="0"/>
        <v/>
      </c>
      <c r="F63" s="783"/>
    </row>
    <row r="64" spans="2:6">
      <c r="B64" s="783"/>
      <c r="E64" s="32" t="str">
        <f t="shared" si="0"/>
        <v/>
      </c>
      <c r="F64" s="783"/>
    </row>
    <row r="65" spans="5:5">
      <c r="E65" s="32" t="str">
        <f t="shared" si="0"/>
        <v/>
      </c>
    </row>
    <row r="66" spans="5:5">
      <c r="E66" s="32" t="str">
        <f t="shared" si="0"/>
        <v/>
      </c>
    </row>
    <row r="67" spans="5:5">
      <c r="E67" s="32" t="str">
        <f t="shared" si="0"/>
        <v/>
      </c>
    </row>
    <row r="68" spans="5:5">
      <c r="E68" s="32" t="str">
        <f t="shared" si="0"/>
        <v/>
      </c>
    </row>
    <row r="69" spans="5:5">
      <c r="E69" s="32" t="str">
        <f t="shared" si="0"/>
        <v/>
      </c>
    </row>
    <row r="70" spans="5:5">
      <c r="E70" s="32" t="str">
        <f t="shared" si="0"/>
        <v/>
      </c>
    </row>
    <row r="71" spans="5:5">
      <c r="E71" s="32" t="str">
        <f t="shared" si="0"/>
        <v/>
      </c>
    </row>
    <row r="72" spans="5:5">
      <c r="E72" s="32" t="str">
        <f t="shared" si="0"/>
        <v/>
      </c>
    </row>
    <row r="73" spans="5:5">
      <c r="E73" s="32" t="str">
        <f t="shared" si="0"/>
        <v/>
      </c>
    </row>
    <row r="74" spans="5:5">
      <c r="E74" s="32" t="str">
        <f t="shared" si="0"/>
        <v/>
      </c>
    </row>
  </sheetData>
  <sheetProtection algorithmName="SHA-512" hashValue="UjlvIzs60vA+eBFVBTJJK+4uNUfGlZsra/gnqoDn+0/SJ1NsCFkPu4F9heWNjZpf0lDCu0CpDULRZw1dPc/gRw==" saltValue="eBQiIou8xNpE+oW+8nbuMA==" spinCount="100000" sheet="1" formatColumns="0" formatRows="0" autoFilter="0"/>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9" tint="-0.249977111117893"/>
    <pageSetUpPr fitToPage="1"/>
  </sheetPr>
  <dimension ref="A1:AR39"/>
  <sheetViews>
    <sheetView showGridLines="0" workbookViewId="0"/>
  </sheetViews>
  <sheetFormatPr defaultColWidth="9.140625" defaultRowHeight="12.75"/>
  <cols>
    <col min="1" max="1" width="16.140625" style="5" customWidth="1"/>
    <col min="2" max="3" width="37.7109375" style="5" customWidth="1"/>
    <col min="4" max="4" width="37.7109375" style="3" customWidth="1"/>
    <col min="5" max="26" width="9.140625" style="5" customWidth="1"/>
    <col min="27" max="38" width="9.140625" style="5" hidden="1" customWidth="1"/>
    <col min="39" max="45" width="9.140625" style="5" customWidth="1"/>
    <col min="46" max="16384" width="9.140625" style="5"/>
  </cols>
  <sheetData>
    <row r="1" spans="1:44" s="94" customFormat="1" ht="21.95" customHeight="1">
      <c r="A1" s="762" t="s">
        <v>48</v>
      </c>
      <c r="B1" s="767"/>
      <c r="C1" s="767"/>
      <c r="D1" s="92"/>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c r="AL1" s="767"/>
      <c r="AM1" s="767"/>
      <c r="AN1" s="767"/>
      <c r="AO1" s="767"/>
      <c r="AP1" s="767"/>
      <c r="AQ1" s="767"/>
      <c r="AR1" s="767"/>
    </row>
    <row r="2" spans="1:44" s="3" customFormat="1" ht="15" customHeight="1">
      <c r="A2" s="774"/>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784"/>
      <c r="AR2" s="784"/>
    </row>
    <row r="3" spans="1:44" s="3" customFormat="1" ht="15" customHeight="1">
      <c r="A3" s="911"/>
      <c r="B3" s="865"/>
      <c r="C3" s="863"/>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t="s">
        <v>391</v>
      </c>
      <c r="AH3" s="784"/>
      <c r="AI3" s="784"/>
      <c r="AJ3" s="784"/>
      <c r="AK3" s="784"/>
      <c r="AL3" s="784"/>
      <c r="AM3" s="784"/>
      <c r="AN3" s="784"/>
      <c r="AO3" s="784"/>
      <c r="AP3" s="784"/>
      <c r="AQ3" s="784"/>
      <c r="AR3" s="784"/>
    </row>
    <row r="4" spans="1:44" ht="33" customHeight="1" thickBot="1">
      <c r="A4" s="763"/>
      <c r="B4" s="763"/>
      <c r="C4" s="65" t="s">
        <v>392</v>
      </c>
      <c r="D4" s="763"/>
      <c r="E4" s="763"/>
      <c r="F4" s="763"/>
      <c r="G4" s="763"/>
      <c r="H4" s="763"/>
      <c r="I4" s="763"/>
      <c r="J4" s="763"/>
      <c r="K4" s="763"/>
      <c r="L4" s="763"/>
      <c r="M4" s="763"/>
      <c r="N4" s="763"/>
      <c r="O4" s="763"/>
      <c r="P4" s="763"/>
      <c r="Q4" s="763"/>
      <c r="R4" s="763"/>
      <c r="S4" s="763"/>
      <c r="T4" s="763"/>
      <c r="U4" s="763"/>
      <c r="V4" s="763"/>
      <c r="W4" s="763"/>
      <c r="X4" s="763"/>
      <c r="Y4" s="763"/>
      <c r="Z4" s="763"/>
      <c r="AA4" s="763"/>
      <c r="AB4" s="763"/>
      <c r="AC4" s="763"/>
      <c r="AD4" s="763"/>
      <c r="AE4" s="763"/>
      <c r="AF4" s="763"/>
      <c r="AG4" s="763" t="s">
        <v>393</v>
      </c>
      <c r="AH4" s="763"/>
      <c r="AI4" s="763"/>
      <c r="AJ4" s="763"/>
      <c r="AK4" s="763"/>
      <c r="AL4" s="763"/>
      <c r="AM4" s="763"/>
      <c r="AN4" s="763"/>
      <c r="AO4" s="763"/>
      <c r="AP4" s="763"/>
      <c r="AQ4" s="763"/>
      <c r="AR4" s="763"/>
    </row>
    <row r="5" spans="1:44" ht="21.95" customHeight="1" thickBot="1">
      <c r="A5" s="114" t="s">
        <v>394</v>
      </c>
      <c r="B5" s="379"/>
      <c r="C5" s="114" t="s">
        <v>395</v>
      </c>
      <c r="D5" s="379"/>
      <c r="E5" s="763"/>
      <c r="F5" s="763"/>
      <c r="G5" s="763"/>
      <c r="H5" s="763"/>
      <c r="I5" s="763"/>
      <c r="J5" s="763"/>
      <c r="K5" s="763"/>
      <c r="L5" s="763"/>
      <c r="M5" s="763"/>
      <c r="N5" s="763"/>
      <c r="O5" s="763"/>
      <c r="P5" s="763"/>
      <c r="Q5" s="763"/>
      <c r="R5" s="763"/>
      <c r="S5" s="763"/>
      <c r="T5" s="763"/>
      <c r="U5" s="763"/>
      <c r="V5" s="763"/>
      <c r="W5" s="763"/>
      <c r="X5" s="763"/>
      <c r="Y5" s="763"/>
      <c r="Z5" s="763"/>
      <c r="AA5" s="763"/>
      <c r="AB5" s="763"/>
      <c r="AC5" s="763"/>
      <c r="AD5" s="763"/>
      <c r="AE5" s="763"/>
      <c r="AF5" s="763"/>
      <c r="AG5" s="763"/>
      <c r="AH5" s="763"/>
      <c r="AI5" s="763"/>
      <c r="AJ5" s="763"/>
      <c r="AK5" s="763"/>
      <c r="AL5" s="763"/>
      <c r="AM5" s="763"/>
      <c r="AN5" s="763"/>
      <c r="AO5" s="763"/>
      <c r="AP5" s="763"/>
      <c r="AQ5" s="763"/>
      <c r="AR5" s="763"/>
    </row>
    <row r="6" spans="1:44" ht="18" customHeight="1" thickBot="1">
      <c r="A6" s="176"/>
      <c r="B6" s="92"/>
      <c r="C6" s="92"/>
      <c r="D6" s="92"/>
      <c r="E6" s="763"/>
      <c r="F6" s="763"/>
      <c r="G6" s="763"/>
      <c r="H6" s="763"/>
      <c r="I6" s="763"/>
      <c r="J6" s="763"/>
      <c r="K6" s="763"/>
      <c r="L6" s="763"/>
      <c r="M6" s="763"/>
      <c r="N6" s="763"/>
      <c r="O6" s="763"/>
      <c r="P6" s="763"/>
      <c r="Q6" s="763"/>
      <c r="R6" s="763"/>
      <c r="S6" s="763"/>
      <c r="T6" s="763"/>
      <c r="U6" s="763"/>
      <c r="V6" s="763"/>
      <c r="W6" s="763"/>
      <c r="X6" s="763"/>
      <c r="Y6" s="763"/>
      <c r="Z6" s="763"/>
      <c r="AA6" s="763"/>
      <c r="AB6" s="6"/>
      <c r="AC6" s="6"/>
      <c r="AD6" s="6"/>
      <c r="AE6" s="7" t="s">
        <v>396</v>
      </c>
      <c r="AF6" s="763"/>
      <c r="AG6" s="763"/>
      <c r="AH6" s="6"/>
      <c r="AI6" s="6"/>
      <c r="AJ6" s="6"/>
      <c r="AK6" s="6"/>
      <c r="AL6" s="6"/>
      <c r="AM6" s="6"/>
      <c r="AN6" s="6"/>
      <c r="AO6" s="6"/>
      <c r="AP6" s="6"/>
      <c r="AQ6" s="6"/>
      <c r="AR6" s="6"/>
    </row>
    <row r="7" spans="1:44" ht="21.95" customHeight="1" thickBot="1">
      <c r="A7" s="1201" t="s">
        <v>397</v>
      </c>
      <c r="B7" s="379"/>
      <c r="C7" s="379"/>
      <c r="D7" s="379"/>
      <c r="E7" s="763"/>
      <c r="F7" s="763"/>
      <c r="G7" s="763"/>
      <c r="H7" s="763"/>
      <c r="I7" s="763"/>
      <c r="J7" s="763"/>
      <c r="K7" s="763"/>
      <c r="L7" s="763"/>
      <c r="M7" s="763"/>
      <c r="N7" s="763"/>
      <c r="O7" s="763"/>
      <c r="P7" s="763"/>
      <c r="Q7" s="763"/>
      <c r="R7" s="763"/>
      <c r="S7" s="763"/>
      <c r="T7" s="763"/>
      <c r="U7" s="763"/>
      <c r="V7" s="763"/>
      <c r="W7" s="763"/>
      <c r="X7" s="763"/>
      <c r="Y7" s="763"/>
      <c r="Z7" s="763"/>
      <c r="AA7" s="6" t="s">
        <v>398</v>
      </c>
      <c r="AB7" s="6"/>
      <c r="AC7" s="6"/>
      <c r="AD7" s="6"/>
      <c r="AE7" s="7" t="s">
        <v>399</v>
      </c>
      <c r="AF7" s="7"/>
      <c r="AG7" s="6"/>
      <c r="AH7" s="6"/>
      <c r="AI7" s="6"/>
      <c r="AJ7" s="6"/>
      <c r="AK7" s="6"/>
      <c r="AL7" s="6"/>
      <c r="AM7" s="6"/>
      <c r="AN7" s="6"/>
      <c r="AO7" s="6"/>
      <c r="AP7" s="6"/>
      <c r="AQ7" s="6"/>
      <c r="AR7" s="6"/>
    </row>
    <row r="8" spans="1:44" ht="21.95" customHeight="1" thickBot="1">
      <c r="A8" s="115"/>
      <c r="B8" s="109" t="s">
        <v>91</v>
      </c>
      <c r="C8" s="767"/>
      <c r="D8" s="111"/>
      <c r="E8" s="763"/>
      <c r="F8" s="763"/>
      <c r="G8" s="763"/>
      <c r="H8" s="763"/>
      <c r="I8" s="763"/>
      <c r="J8" s="763"/>
      <c r="K8" s="763"/>
      <c r="L8" s="763"/>
      <c r="M8" s="763"/>
      <c r="N8" s="763"/>
      <c r="O8" s="763"/>
      <c r="P8" s="763"/>
      <c r="Q8" s="763"/>
      <c r="R8" s="763"/>
      <c r="S8" s="763"/>
      <c r="T8" s="763"/>
      <c r="U8" s="763"/>
      <c r="V8" s="763"/>
      <c r="W8" s="763"/>
      <c r="X8" s="763"/>
      <c r="Y8" s="763"/>
      <c r="Z8" s="763"/>
      <c r="AA8" s="6" t="s">
        <v>400</v>
      </c>
      <c r="AB8" s="6"/>
      <c r="AC8" s="6"/>
      <c r="AD8" s="6"/>
      <c r="AE8" s="7" t="s">
        <v>401</v>
      </c>
      <c r="AF8" s="39"/>
      <c r="AG8" s="6"/>
      <c r="AH8" s="7" t="s">
        <v>32</v>
      </c>
      <c r="AI8" s="6"/>
      <c r="AJ8" s="6"/>
      <c r="AK8" s="7" t="s">
        <v>402</v>
      </c>
      <c r="AL8" s="6"/>
      <c r="AM8" s="6"/>
      <c r="AN8" s="6"/>
      <c r="AO8" s="6"/>
      <c r="AP8" s="6"/>
      <c r="AQ8" s="6"/>
      <c r="AR8" s="6"/>
    </row>
    <row r="9" spans="1:44" ht="44.1" customHeight="1" thickBot="1">
      <c r="A9" s="115"/>
      <c r="B9" s="908"/>
      <c r="C9" s="909"/>
      <c r="D9" s="910"/>
      <c r="E9" s="763"/>
      <c r="F9" s="763"/>
      <c r="G9" s="763"/>
      <c r="H9" s="763"/>
      <c r="I9" s="763"/>
      <c r="J9" s="763"/>
      <c r="K9" s="763"/>
      <c r="L9" s="763"/>
      <c r="M9" s="763"/>
      <c r="N9" s="763"/>
      <c r="O9" s="763"/>
      <c r="P9" s="763"/>
      <c r="Q9" s="763"/>
      <c r="R9" s="763"/>
      <c r="S9" s="763"/>
      <c r="T9" s="763"/>
      <c r="U9" s="763"/>
      <c r="V9" s="763"/>
      <c r="W9" s="763"/>
      <c r="X9" s="763"/>
      <c r="Y9" s="763"/>
      <c r="Z9" s="763"/>
      <c r="AA9" s="6" t="s">
        <v>403</v>
      </c>
      <c r="AB9" s="39"/>
      <c r="AC9" s="39"/>
      <c r="AD9" s="39"/>
      <c r="AE9" s="7" t="s">
        <v>404</v>
      </c>
      <c r="AF9" s="40"/>
      <c r="AG9" s="39"/>
      <c r="AH9" s="763"/>
      <c r="AI9" s="39"/>
      <c r="AJ9" s="39"/>
      <c r="AK9" s="7" t="s">
        <v>405</v>
      </c>
      <c r="AL9" s="39"/>
      <c r="AM9" s="7"/>
      <c r="AN9" s="7"/>
      <c r="AO9" s="39"/>
      <c r="AP9" s="39"/>
      <c r="AQ9" s="39"/>
      <c r="AR9" s="39"/>
    </row>
    <row r="10" spans="1:44" ht="21.95" customHeight="1" thickBot="1">
      <c r="A10" s="116"/>
      <c r="B10" s="112"/>
      <c r="C10" s="112"/>
      <c r="D10" s="113"/>
      <c r="E10" s="763"/>
      <c r="F10" s="763"/>
      <c r="G10" s="763"/>
      <c r="H10" s="763"/>
      <c r="I10" s="763"/>
      <c r="J10" s="763"/>
      <c r="K10" s="763"/>
      <c r="L10" s="763"/>
      <c r="M10" s="763"/>
      <c r="N10" s="763"/>
      <c r="O10" s="763"/>
      <c r="P10" s="763"/>
      <c r="Q10" s="763"/>
      <c r="R10" s="763"/>
      <c r="S10" s="763"/>
      <c r="T10" s="763"/>
      <c r="U10" s="763"/>
      <c r="V10" s="763"/>
      <c r="W10" s="763"/>
      <c r="X10" s="763"/>
      <c r="Y10" s="763"/>
      <c r="Z10" s="763"/>
      <c r="AA10" s="763"/>
      <c r="AB10" s="6"/>
      <c r="AC10" s="6"/>
      <c r="AD10" s="6"/>
      <c r="AE10" s="7" t="s">
        <v>406</v>
      </c>
      <c r="AF10" s="763"/>
      <c r="AG10" s="6"/>
      <c r="AH10" s="763"/>
      <c r="AI10" s="6"/>
      <c r="AJ10" s="6"/>
      <c r="AK10" s="7" t="s">
        <v>407</v>
      </c>
      <c r="AL10" s="6"/>
      <c r="AM10" s="6"/>
      <c r="AN10" s="6"/>
      <c r="AO10" s="6"/>
      <c r="AP10" s="6"/>
      <c r="AQ10" s="6"/>
      <c r="AR10" s="6"/>
    </row>
    <row r="11" spans="1:44" ht="21.95" customHeight="1" thickBot="1">
      <c r="A11" s="1201" t="s">
        <v>408</v>
      </c>
      <c r="B11" s="379"/>
      <c r="C11" s="379"/>
      <c r="D11" s="379"/>
      <c r="E11" s="763"/>
      <c r="F11" s="763"/>
      <c r="G11" s="763"/>
      <c r="H11" s="763"/>
      <c r="I11" s="763"/>
      <c r="J11" s="763"/>
      <c r="K11" s="763"/>
      <c r="L11" s="763"/>
      <c r="M11" s="763"/>
      <c r="N11" s="763"/>
      <c r="O11" s="763"/>
      <c r="P11" s="763"/>
      <c r="Q11" s="763"/>
      <c r="R11" s="763"/>
      <c r="S11" s="763"/>
      <c r="T11" s="763"/>
      <c r="U11" s="763"/>
      <c r="V11" s="763"/>
      <c r="W11" s="763"/>
      <c r="X11" s="763"/>
      <c r="Y11" s="763"/>
      <c r="Z11" s="763"/>
      <c r="AA11" s="763"/>
      <c r="AB11" s="6"/>
      <c r="AC11" s="6"/>
      <c r="AD11" s="6"/>
      <c r="AE11" s="7" t="s">
        <v>409</v>
      </c>
      <c r="AF11" s="40"/>
      <c r="AG11" s="6"/>
      <c r="AH11" s="763"/>
      <c r="AI11" s="6"/>
      <c r="AJ11" s="6"/>
      <c r="AK11" s="7" t="s">
        <v>410</v>
      </c>
      <c r="AL11" s="6"/>
      <c r="AM11" s="6"/>
      <c r="AN11" s="6"/>
      <c r="AO11" s="6"/>
      <c r="AP11" s="6"/>
      <c r="AQ11" s="6"/>
      <c r="AR11" s="6"/>
    </row>
    <row r="12" spans="1:44" ht="21.95" customHeight="1" thickBot="1">
      <c r="A12" s="115"/>
      <c r="B12" s="109" t="s">
        <v>91</v>
      </c>
      <c r="C12" s="767"/>
      <c r="D12" s="111"/>
      <c r="E12" s="763"/>
      <c r="F12" s="763"/>
      <c r="G12" s="763"/>
      <c r="H12" s="763"/>
      <c r="I12" s="763"/>
      <c r="J12" s="763"/>
      <c r="K12" s="763"/>
      <c r="L12" s="763"/>
      <c r="M12" s="763"/>
      <c r="N12" s="763"/>
      <c r="O12" s="763"/>
      <c r="P12" s="763"/>
      <c r="Q12" s="763"/>
      <c r="R12" s="763"/>
      <c r="S12" s="763"/>
      <c r="T12" s="763"/>
      <c r="U12" s="763"/>
      <c r="V12" s="763"/>
      <c r="W12" s="763"/>
      <c r="X12" s="763"/>
      <c r="Y12" s="763"/>
      <c r="Z12" s="763"/>
      <c r="AA12" s="763"/>
      <c r="AB12" s="39"/>
      <c r="AC12" s="39"/>
      <c r="AD12" s="39"/>
      <c r="AE12" s="7" t="s">
        <v>411</v>
      </c>
      <c r="AF12" s="7"/>
      <c r="AG12" s="39"/>
      <c r="AH12" s="763"/>
      <c r="AI12" s="39"/>
      <c r="AJ12" s="39"/>
      <c r="AK12" s="7" t="s">
        <v>412</v>
      </c>
      <c r="AL12" s="39"/>
      <c r="AM12" s="39"/>
      <c r="AN12" s="39"/>
      <c r="AO12" s="39"/>
      <c r="AP12" s="39"/>
      <c r="AQ12" s="39"/>
      <c r="AR12" s="39"/>
    </row>
    <row r="13" spans="1:44" ht="44.1" customHeight="1" thickBot="1">
      <c r="A13" s="115"/>
      <c r="B13" s="908"/>
      <c r="C13" s="909"/>
      <c r="D13" s="910"/>
      <c r="E13" s="763"/>
      <c r="F13" s="763"/>
      <c r="G13" s="763"/>
      <c r="H13" s="763"/>
      <c r="I13" s="763"/>
      <c r="J13" s="763"/>
      <c r="K13" s="763"/>
      <c r="L13" s="763"/>
      <c r="M13" s="763"/>
      <c r="N13" s="763"/>
      <c r="O13" s="763"/>
      <c r="P13" s="763"/>
      <c r="Q13" s="763"/>
      <c r="R13" s="763"/>
      <c r="S13" s="763"/>
      <c r="T13" s="763"/>
      <c r="U13" s="763"/>
      <c r="V13" s="763"/>
      <c r="W13" s="763"/>
      <c r="X13" s="763"/>
      <c r="Y13" s="763"/>
      <c r="Z13" s="763"/>
      <c r="AA13" s="763"/>
      <c r="AB13" s="6"/>
      <c r="AC13" s="6"/>
      <c r="AD13" s="6"/>
      <c r="AE13" s="7" t="s">
        <v>413</v>
      </c>
      <c r="AF13" s="7"/>
      <c r="AG13" s="6"/>
      <c r="AH13" s="7" t="s">
        <v>402</v>
      </c>
      <c r="AI13" s="6"/>
      <c r="AJ13" s="6"/>
      <c r="AK13" s="7" t="s">
        <v>414</v>
      </c>
      <c r="AL13" s="6"/>
      <c r="AM13" s="6"/>
      <c r="AN13" s="6"/>
      <c r="AO13" s="6"/>
      <c r="AP13" s="6"/>
      <c r="AQ13" s="6"/>
      <c r="AR13" s="6"/>
    </row>
    <row r="14" spans="1:44" ht="21.95" customHeight="1" thickBot="1">
      <c r="A14" s="116"/>
      <c r="B14" s="112"/>
      <c r="C14" s="112"/>
      <c r="D14" s="11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6"/>
      <c r="AC14" s="6"/>
      <c r="AD14" s="6"/>
      <c r="AE14" s="763"/>
      <c r="AF14" s="6"/>
      <c r="AG14" s="6"/>
      <c r="AH14" s="7" t="s">
        <v>415</v>
      </c>
      <c r="AI14" s="6"/>
      <c r="AJ14" s="6"/>
      <c r="AK14" s="6"/>
      <c r="AL14" s="6"/>
      <c r="AM14" s="6"/>
      <c r="AN14" s="6"/>
      <c r="AO14" s="6"/>
      <c r="AP14" s="6"/>
      <c r="AQ14" s="6"/>
      <c r="AR14" s="6"/>
    </row>
    <row r="15" spans="1:44" ht="21.95" customHeight="1" thickBot="1">
      <c r="A15" s="1201" t="s">
        <v>416</v>
      </c>
      <c r="B15" s="379"/>
      <c r="C15" s="379"/>
      <c r="D15" s="379"/>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6"/>
      <c r="AC15" s="6"/>
      <c r="AD15" s="6"/>
      <c r="AE15" s="763"/>
      <c r="AF15" s="6"/>
      <c r="AG15" s="6"/>
      <c r="AH15" s="7" t="s">
        <v>417</v>
      </c>
      <c r="AI15" s="6"/>
      <c r="AJ15" s="6"/>
      <c r="AK15" s="6"/>
      <c r="AL15" s="6"/>
      <c r="AM15" s="6"/>
      <c r="AN15" s="6"/>
      <c r="AO15" s="6"/>
      <c r="AP15" s="6"/>
      <c r="AQ15" s="6"/>
      <c r="AR15" s="6"/>
    </row>
    <row r="16" spans="1:44" ht="21.95" customHeight="1" thickBot="1">
      <c r="A16" s="115"/>
      <c r="B16" s="109" t="s">
        <v>91</v>
      </c>
      <c r="C16" s="767"/>
      <c r="D16" s="111"/>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6"/>
      <c r="AC16" s="6"/>
      <c r="AD16" s="6"/>
      <c r="AE16" s="763"/>
      <c r="AF16" s="6"/>
      <c r="AG16" s="763"/>
      <c r="AH16" s="7" t="s">
        <v>418</v>
      </c>
      <c r="AI16" s="6"/>
      <c r="AJ16" s="6"/>
      <c r="AK16" s="6"/>
      <c r="AL16" s="6"/>
      <c r="AM16" s="6"/>
      <c r="AN16" s="6"/>
      <c r="AO16" s="6"/>
      <c r="AP16" s="6"/>
      <c r="AQ16" s="6"/>
      <c r="AR16" s="6"/>
    </row>
    <row r="17" spans="1:44" ht="44.1" customHeight="1" thickBot="1">
      <c r="A17" s="115"/>
      <c r="B17" s="908"/>
      <c r="C17" s="909"/>
      <c r="D17" s="910"/>
      <c r="E17" s="763"/>
      <c r="F17" s="763"/>
      <c r="G17" s="763"/>
      <c r="H17" s="763"/>
      <c r="I17" s="763"/>
      <c r="J17" s="763"/>
      <c r="K17" s="763"/>
      <c r="L17" s="763"/>
      <c r="M17" s="763"/>
      <c r="N17" s="763"/>
      <c r="O17" s="763"/>
      <c r="P17" s="763"/>
      <c r="Q17" s="763"/>
      <c r="R17" s="763"/>
      <c r="S17" s="763"/>
      <c r="T17" s="763"/>
      <c r="U17" s="763"/>
      <c r="V17" s="763"/>
      <c r="W17" s="763"/>
      <c r="X17" s="763"/>
      <c r="Y17" s="763"/>
      <c r="Z17" s="763"/>
      <c r="AA17" s="763"/>
      <c r="AB17" s="6"/>
      <c r="AC17" s="6"/>
      <c r="AD17" s="6"/>
      <c r="AE17" s="763"/>
      <c r="AF17" s="6"/>
      <c r="AG17" s="763"/>
      <c r="AH17" s="7" t="s">
        <v>419</v>
      </c>
      <c r="AI17" s="6"/>
      <c r="AJ17" s="6"/>
      <c r="AK17" s="6"/>
      <c r="AL17" s="6"/>
      <c r="AM17" s="6"/>
      <c r="AN17" s="6"/>
      <c r="AO17" s="6"/>
      <c r="AP17" s="6"/>
      <c r="AQ17" s="6"/>
      <c r="AR17" s="6"/>
    </row>
    <row r="18" spans="1:44" ht="21.95" customHeight="1" thickBot="1">
      <c r="A18" s="116"/>
      <c r="B18" s="112"/>
      <c r="C18" s="112"/>
      <c r="D18" s="113"/>
      <c r="E18" s="763"/>
      <c r="F18" s="763"/>
      <c r="G18" s="763"/>
      <c r="H18" s="763"/>
      <c r="I18" s="763"/>
      <c r="J18" s="763"/>
      <c r="K18" s="763"/>
      <c r="L18" s="763"/>
      <c r="M18" s="763"/>
      <c r="N18" s="763"/>
      <c r="O18" s="763"/>
      <c r="P18" s="763"/>
      <c r="Q18" s="763"/>
      <c r="R18" s="763"/>
      <c r="S18" s="763"/>
      <c r="T18" s="763"/>
      <c r="U18" s="763"/>
      <c r="V18" s="763"/>
      <c r="W18" s="763"/>
      <c r="X18" s="763"/>
      <c r="Y18" s="763"/>
      <c r="Z18" s="763"/>
      <c r="AA18" s="763"/>
      <c r="AB18" s="6"/>
      <c r="AC18" s="6"/>
      <c r="AD18" s="6"/>
      <c r="AE18" s="6"/>
      <c r="AF18" s="6"/>
      <c r="AG18" s="763"/>
      <c r="AH18" s="7" t="s">
        <v>420</v>
      </c>
      <c r="AI18" s="6"/>
      <c r="AJ18" s="6"/>
      <c r="AK18" s="759"/>
      <c r="AL18" s="6"/>
      <c r="AM18" s="6"/>
      <c r="AN18" s="6"/>
      <c r="AO18" s="6"/>
      <c r="AP18" s="6"/>
      <c r="AQ18" s="6"/>
      <c r="AR18" s="6"/>
    </row>
    <row r="19" spans="1:44" ht="21.95" customHeight="1" thickBot="1">
      <c r="A19" s="1201" t="s">
        <v>421</v>
      </c>
      <c r="B19" s="379"/>
      <c r="C19" s="379"/>
      <c r="D19" s="379"/>
      <c r="E19" s="763"/>
      <c r="F19" s="763"/>
      <c r="G19" s="763"/>
      <c r="H19" s="763"/>
      <c r="I19" s="763"/>
      <c r="J19" s="763"/>
      <c r="K19" s="763"/>
      <c r="L19" s="763"/>
      <c r="M19" s="763"/>
      <c r="N19" s="763"/>
      <c r="O19" s="763"/>
      <c r="P19" s="763"/>
      <c r="Q19" s="763"/>
      <c r="R19" s="763"/>
      <c r="S19" s="763"/>
      <c r="T19" s="763"/>
      <c r="U19" s="763"/>
      <c r="V19" s="763"/>
      <c r="W19" s="763"/>
      <c r="X19" s="763"/>
      <c r="Y19" s="763"/>
      <c r="Z19" s="763"/>
      <c r="AA19" s="763"/>
      <c r="AB19" s="6"/>
      <c r="AC19" s="6"/>
      <c r="AD19" s="6"/>
      <c r="AE19" s="6"/>
      <c r="AF19" s="6"/>
      <c r="AG19" s="763"/>
      <c r="AH19" s="7"/>
      <c r="AI19" s="6"/>
      <c r="AJ19" s="6"/>
      <c r="AK19" s="41" t="s">
        <v>402</v>
      </c>
      <c r="AL19" s="6"/>
      <c r="AM19" s="6"/>
      <c r="AN19" s="6"/>
      <c r="AO19" s="6"/>
      <c r="AP19" s="6"/>
      <c r="AQ19" s="6"/>
      <c r="AR19" s="6"/>
    </row>
    <row r="20" spans="1:44" ht="21.95" customHeight="1" thickBot="1">
      <c r="A20" s="115"/>
      <c r="B20" s="109" t="s">
        <v>91</v>
      </c>
      <c r="C20" s="767"/>
      <c r="D20" s="111"/>
      <c r="E20" s="763"/>
      <c r="F20" s="763"/>
      <c r="G20" s="763"/>
      <c r="H20" s="763"/>
      <c r="I20" s="763"/>
      <c r="J20" s="763"/>
      <c r="K20" s="763"/>
      <c r="L20" s="763"/>
      <c r="M20" s="763"/>
      <c r="N20" s="763"/>
      <c r="O20" s="763"/>
      <c r="P20" s="763"/>
      <c r="Q20" s="763"/>
      <c r="R20" s="763"/>
      <c r="S20" s="763"/>
      <c r="T20" s="763"/>
      <c r="U20" s="763"/>
      <c r="V20" s="763"/>
      <c r="W20" s="763"/>
      <c r="X20" s="763"/>
      <c r="Y20" s="763"/>
      <c r="Z20" s="763"/>
      <c r="AA20" s="763"/>
      <c r="AB20" s="6"/>
      <c r="AC20" s="6"/>
      <c r="AD20" s="6"/>
      <c r="AE20" s="6"/>
      <c r="AF20" s="6"/>
      <c r="AG20" s="763"/>
      <c r="AH20" s="7"/>
      <c r="AI20" s="6"/>
      <c r="AJ20" s="6"/>
      <c r="AK20" s="41" t="s">
        <v>405</v>
      </c>
      <c r="AL20" s="6"/>
      <c r="AM20" s="6"/>
      <c r="AN20" s="6"/>
      <c r="AO20" s="6"/>
      <c r="AP20" s="6"/>
      <c r="AQ20" s="6"/>
      <c r="AR20" s="6"/>
    </row>
    <row r="21" spans="1:44" ht="44.1" customHeight="1" thickBot="1">
      <c r="A21" s="115"/>
      <c r="B21" s="908"/>
      <c r="C21" s="909"/>
      <c r="D21" s="910"/>
      <c r="E21" s="763"/>
      <c r="F21" s="763"/>
      <c r="G21" s="763"/>
      <c r="H21" s="763"/>
      <c r="I21" s="763"/>
      <c r="J21" s="763"/>
      <c r="K21" s="763"/>
      <c r="L21" s="763"/>
      <c r="M21" s="763"/>
      <c r="N21" s="763"/>
      <c r="O21" s="763"/>
      <c r="P21" s="763"/>
      <c r="Q21" s="763"/>
      <c r="R21" s="763"/>
      <c r="S21" s="763"/>
      <c r="T21" s="763"/>
      <c r="U21" s="763"/>
      <c r="V21" s="763"/>
      <c r="W21" s="763"/>
      <c r="X21" s="763"/>
      <c r="Y21" s="763"/>
      <c r="Z21" s="763"/>
      <c r="AA21" s="763"/>
      <c r="AB21" s="6"/>
      <c r="AC21" s="6"/>
      <c r="AD21" s="6"/>
      <c r="AE21" s="763"/>
      <c r="AF21" s="6"/>
      <c r="AG21" s="763"/>
      <c r="AH21" s="7" t="s">
        <v>402</v>
      </c>
      <c r="AI21" s="6"/>
      <c r="AJ21" s="6"/>
      <c r="AK21" s="41" t="s">
        <v>422</v>
      </c>
      <c r="AL21" s="6"/>
      <c r="AM21" s="6"/>
      <c r="AN21" s="6"/>
      <c r="AO21" s="6"/>
      <c r="AP21" s="6"/>
      <c r="AQ21" s="6"/>
      <c r="AR21" s="6"/>
    </row>
    <row r="22" spans="1:44" ht="21.95" customHeight="1">
      <c r="A22" s="116"/>
      <c r="B22" s="175"/>
      <c r="C22" s="61"/>
      <c r="D22" s="62"/>
      <c r="E22" s="763"/>
      <c r="F22" s="763"/>
      <c r="G22" s="763"/>
      <c r="H22" s="763"/>
      <c r="I22" s="763"/>
      <c r="J22" s="763"/>
      <c r="K22" s="763"/>
      <c r="L22" s="763"/>
      <c r="M22" s="763"/>
      <c r="N22" s="763"/>
      <c r="O22" s="763"/>
      <c r="P22" s="763"/>
      <c r="Q22" s="763"/>
      <c r="R22" s="763"/>
      <c r="S22" s="763"/>
      <c r="T22" s="763"/>
      <c r="U22" s="763"/>
      <c r="V22" s="763"/>
      <c r="W22" s="763"/>
      <c r="X22" s="763"/>
      <c r="Y22" s="763"/>
      <c r="Z22" s="763"/>
      <c r="AA22" s="763"/>
      <c r="AB22" s="6"/>
      <c r="AC22" s="6"/>
      <c r="AD22" s="6"/>
      <c r="AE22" s="763"/>
      <c r="AF22" s="6"/>
      <c r="AG22" s="763"/>
      <c r="AH22" s="7" t="s">
        <v>405</v>
      </c>
      <c r="AI22" s="6"/>
      <c r="AJ22" s="6"/>
      <c r="AK22" s="7" t="s">
        <v>423</v>
      </c>
      <c r="AL22" s="6"/>
      <c r="AM22" s="6"/>
      <c r="AN22" s="6"/>
      <c r="AO22" s="6"/>
      <c r="AP22" s="6"/>
      <c r="AQ22" s="6"/>
      <c r="AR22" s="6"/>
    </row>
    <row r="23" spans="1:44" ht="21.95" customHeight="1" thickBot="1">
      <c r="A23" s="1202" t="s">
        <v>424</v>
      </c>
      <c r="B23" s="733"/>
      <c r="C23" s="733"/>
      <c r="D23" s="1173"/>
      <c r="E23" s="763"/>
      <c r="F23" s="763"/>
      <c r="G23" s="763"/>
      <c r="H23" s="763"/>
      <c r="I23" s="763"/>
      <c r="J23" s="763"/>
      <c r="K23" s="763"/>
      <c r="L23" s="763"/>
      <c r="M23" s="763"/>
      <c r="N23" s="763"/>
      <c r="O23" s="763"/>
      <c r="P23" s="763"/>
      <c r="Q23" s="763"/>
      <c r="R23" s="763"/>
      <c r="S23" s="763"/>
      <c r="T23" s="763"/>
      <c r="U23" s="763"/>
      <c r="V23" s="763"/>
      <c r="W23" s="763"/>
      <c r="X23" s="763"/>
      <c r="Y23" s="763"/>
      <c r="Z23" s="763"/>
      <c r="AA23" s="763"/>
      <c r="AB23" s="6"/>
      <c r="AC23" s="6"/>
      <c r="AD23" s="6"/>
      <c r="AE23" s="763"/>
      <c r="AF23" s="7"/>
      <c r="AG23" s="6"/>
      <c r="AH23" s="7"/>
      <c r="AI23" s="6"/>
      <c r="AJ23" s="6"/>
      <c r="AK23" s="7" t="s">
        <v>425</v>
      </c>
      <c r="AL23" s="6"/>
      <c r="AM23" s="6"/>
      <c r="AN23" s="6"/>
      <c r="AO23" s="6"/>
      <c r="AP23" s="6"/>
      <c r="AQ23" s="6"/>
      <c r="AR23" s="6"/>
    </row>
    <row r="24" spans="1:44" ht="21.95" customHeight="1" thickBot="1">
      <c r="A24" s="115"/>
      <c r="B24" s="379"/>
      <c r="C24" s="379"/>
      <c r="D24" s="379"/>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6"/>
      <c r="AC24" s="6"/>
      <c r="AD24" s="6"/>
      <c r="AE24" s="763"/>
      <c r="AF24" s="7"/>
      <c r="AG24" s="6"/>
      <c r="AH24" s="6"/>
      <c r="AI24" s="6"/>
      <c r="AJ24" s="6"/>
      <c r="AK24" s="7" t="s">
        <v>428</v>
      </c>
      <c r="AL24" s="6"/>
      <c r="AM24" s="6"/>
      <c r="AN24" s="6"/>
      <c r="AO24" s="6"/>
      <c r="AP24" s="6"/>
      <c r="AQ24" s="6"/>
      <c r="AR24" s="6"/>
    </row>
    <row r="25" spans="1:44" ht="21.95" customHeight="1" thickBot="1">
      <c r="A25" s="115"/>
      <c r="B25" s="109" t="s">
        <v>91</v>
      </c>
      <c r="C25" s="767"/>
      <c r="D25" s="111"/>
      <c r="E25" s="763"/>
      <c r="F25" s="763"/>
      <c r="G25" s="763"/>
      <c r="H25" s="763"/>
      <c r="I25" s="763"/>
      <c r="J25" s="763"/>
      <c r="K25" s="763"/>
      <c r="L25" s="763"/>
      <c r="M25" s="763"/>
      <c r="N25" s="763"/>
      <c r="O25" s="763"/>
      <c r="P25" s="763"/>
      <c r="Q25" s="763"/>
      <c r="R25" s="763"/>
      <c r="S25" s="763"/>
      <c r="T25" s="763"/>
      <c r="U25" s="763"/>
      <c r="V25" s="763"/>
      <c r="W25" s="763"/>
      <c r="X25" s="763"/>
      <c r="Y25" s="763"/>
      <c r="Z25" s="763"/>
      <c r="AA25" s="763"/>
      <c r="AB25" s="6"/>
      <c r="AC25" s="6"/>
      <c r="AD25" s="6"/>
      <c r="AE25" s="763"/>
      <c r="AF25" s="7"/>
      <c r="AG25" s="7" t="s">
        <v>402</v>
      </c>
      <c r="AH25" s="6"/>
      <c r="AI25" s="6"/>
      <c r="AJ25" s="6"/>
      <c r="AK25" s="6"/>
      <c r="AL25" s="6"/>
      <c r="AM25" s="6"/>
      <c r="AN25" s="6"/>
      <c r="AO25" s="6"/>
      <c r="AP25" s="6"/>
      <c r="AQ25" s="6"/>
      <c r="AR25" s="6"/>
    </row>
    <row r="26" spans="1:44" ht="44.1" customHeight="1" thickBot="1">
      <c r="A26" s="115"/>
      <c r="B26" s="908"/>
      <c r="C26" s="909"/>
      <c r="D26" s="910"/>
      <c r="E26" s="763"/>
      <c r="F26" s="763"/>
      <c r="G26" s="763"/>
      <c r="H26" s="763"/>
      <c r="I26" s="763"/>
      <c r="J26" s="763"/>
      <c r="K26" s="763"/>
      <c r="L26" s="763"/>
      <c r="M26" s="763"/>
      <c r="N26" s="763"/>
      <c r="O26" s="763"/>
      <c r="P26" s="763"/>
      <c r="Q26" s="763"/>
      <c r="R26" s="763"/>
      <c r="S26" s="763"/>
      <c r="T26" s="763"/>
      <c r="U26" s="763"/>
      <c r="V26" s="763"/>
      <c r="W26" s="763"/>
      <c r="X26" s="763"/>
      <c r="Y26" s="763"/>
      <c r="Z26" s="763"/>
      <c r="AA26" s="763"/>
      <c r="AB26" s="6"/>
      <c r="AC26" s="6"/>
      <c r="AD26" s="6"/>
      <c r="AE26" s="7"/>
      <c r="AF26" s="7"/>
      <c r="AG26" s="7" t="s">
        <v>405</v>
      </c>
      <c r="AH26" s="6"/>
      <c r="AI26" s="6"/>
      <c r="AJ26" s="6"/>
      <c r="AK26" s="6"/>
      <c r="AL26" s="6"/>
      <c r="AM26" s="6"/>
      <c r="AN26" s="6"/>
      <c r="AO26" s="6"/>
      <c r="AP26" s="6"/>
      <c r="AQ26" s="6"/>
      <c r="AR26" s="6"/>
    </row>
    <row r="27" spans="1:44" ht="21.95" customHeight="1">
      <c r="A27" s="116"/>
      <c r="B27" s="112"/>
      <c r="C27" s="112"/>
      <c r="D27" s="113"/>
      <c r="E27" s="763"/>
      <c r="F27" s="763"/>
      <c r="G27" s="763"/>
      <c r="H27" s="763"/>
      <c r="I27" s="763"/>
      <c r="J27" s="763"/>
      <c r="K27" s="763"/>
      <c r="L27" s="763"/>
      <c r="M27" s="763"/>
      <c r="N27" s="763"/>
      <c r="O27" s="763"/>
      <c r="P27" s="763"/>
      <c r="Q27" s="763"/>
      <c r="R27" s="763"/>
      <c r="S27" s="763"/>
      <c r="T27" s="763"/>
      <c r="U27" s="763"/>
      <c r="V27" s="763"/>
      <c r="W27" s="763"/>
      <c r="X27" s="763"/>
      <c r="Y27" s="763"/>
      <c r="Z27" s="763"/>
      <c r="AA27" s="763"/>
      <c r="AB27" s="6"/>
      <c r="AC27" s="6"/>
      <c r="AD27" s="6"/>
      <c r="AE27" s="763"/>
      <c r="AF27" s="7"/>
      <c r="AG27" s="7" t="s">
        <v>426</v>
      </c>
      <c r="AH27" s="6"/>
      <c r="AI27" s="6"/>
      <c r="AJ27" s="6"/>
      <c r="AK27" s="7"/>
      <c r="AL27" s="6"/>
      <c r="AM27" s="6"/>
      <c r="AN27" s="6"/>
      <c r="AO27" s="6"/>
      <c r="AP27" s="6"/>
      <c r="AQ27" s="6"/>
      <c r="AR27" s="6"/>
    </row>
    <row r="28" spans="1:44" ht="21.95" customHeight="1">
      <c r="A28" s="1201" t="s">
        <v>429</v>
      </c>
      <c r="B28" s="733"/>
      <c r="C28" s="733"/>
      <c r="D28" s="1173"/>
      <c r="E28" s="763"/>
      <c r="F28" s="763"/>
      <c r="G28" s="763"/>
      <c r="H28" s="763"/>
      <c r="I28" s="763"/>
      <c r="J28" s="763"/>
      <c r="K28" s="763"/>
      <c r="L28" s="763"/>
      <c r="M28" s="763"/>
      <c r="N28" s="763"/>
      <c r="O28" s="763"/>
      <c r="P28" s="763"/>
      <c r="Q28" s="763"/>
      <c r="R28" s="763"/>
      <c r="S28" s="763"/>
      <c r="T28" s="763"/>
      <c r="U28" s="763"/>
      <c r="V28" s="763"/>
      <c r="W28" s="763"/>
      <c r="X28" s="763"/>
      <c r="Y28" s="763"/>
      <c r="Z28" s="763"/>
      <c r="AA28" s="763"/>
      <c r="AB28" s="6"/>
      <c r="AC28" s="6"/>
      <c r="AD28" s="6"/>
      <c r="AE28" s="763"/>
      <c r="AF28" s="7"/>
      <c r="AG28" s="7" t="s">
        <v>430</v>
      </c>
      <c r="AH28" s="6"/>
      <c r="AI28" s="6"/>
      <c r="AJ28" s="6"/>
      <c r="AK28" s="41" t="s">
        <v>402</v>
      </c>
      <c r="AL28" s="6"/>
      <c r="AM28" s="6"/>
      <c r="AN28" s="6"/>
      <c r="AO28" s="6"/>
      <c r="AP28" s="6"/>
      <c r="AQ28" s="6"/>
      <c r="AR28" s="6"/>
    </row>
    <row r="29" spans="1:44" ht="21.95" customHeight="1" thickBot="1">
      <c r="A29" s="115"/>
      <c r="B29" s="109" t="s">
        <v>91</v>
      </c>
      <c r="C29" s="767"/>
      <c r="D29" s="111"/>
      <c r="E29" s="763"/>
      <c r="F29" s="763"/>
      <c r="G29" s="763"/>
      <c r="H29" s="763"/>
      <c r="I29" s="763"/>
      <c r="J29" s="763"/>
      <c r="K29" s="763"/>
      <c r="L29" s="763"/>
      <c r="M29" s="763"/>
      <c r="N29" s="763"/>
      <c r="O29" s="763"/>
      <c r="P29" s="763"/>
      <c r="Q29" s="763"/>
      <c r="R29" s="763"/>
      <c r="S29" s="763"/>
      <c r="T29" s="763"/>
      <c r="U29" s="763"/>
      <c r="V29" s="763"/>
      <c r="W29" s="763"/>
      <c r="X29" s="763"/>
      <c r="Y29" s="763"/>
      <c r="Z29" s="763"/>
      <c r="AA29" s="763"/>
      <c r="AB29" s="6"/>
      <c r="AC29" s="6"/>
      <c r="AD29" s="6"/>
      <c r="AE29" s="763"/>
      <c r="AF29" s="7"/>
      <c r="AG29" s="7" t="s">
        <v>427</v>
      </c>
      <c r="AH29" s="6"/>
      <c r="AI29" s="6"/>
      <c r="AJ29" s="6"/>
      <c r="AK29" s="41" t="s">
        <v>405</v>
      </c>
      <c r="AL29" s="6"/>
      <c r="AM29" s="6"/>
      <c r="AN29" s="6"/>
      <c r="AO29" s="6"/>
      <c r="AP29" s="6"/>
      <c r="AQ29" s="6"/>
      <c r="AR29" s="6"/>
    </row>
    <row r="30" spans="1:44" ht="44.1" customHeight="1" thickBot="1">
      <c r="A30" s="115"/>
      <c r="B30" s="908"/>
      <c r="C30" s="909"/>
      <c r="D30" s="910"/>
      <c r="E30" s="763"/>
      <c r="F30" s="763"/>
      <c r="G30" s="763"/>
      <c r="H30" s="763"/>
      <c r="I30" s="763"/>
      <c r="J30" s="763"/>
      <c r="K30" s="763"/>
      <c r="L30" s="763"/>
      <c r="M30" s="763"/>
      <c r="N30" s="763"/>
      <c r="O30" s="763"/>
      <c r="P30" s="763"/>
      <c r="Q30" s="763"/>
      <c r="R30" s="763"/>
      <c r="S30" s="763"/>
      <c r="T30" s="763"/>
      <c r="U30" s="763"/>
      <c r="V30" s="763"/>
      <c r="W30" s="763"/>
      <c r="X30" s="763"/>
      <c r="Y30" s="763"/>
      <c r="Z30" s="763"/>
      <c r="AA30" s="763"/>
      <c r="AB30" s="6"/>
      <c r="AC30" s="6"/>
      <c r="AD30" s="6"/>
      <c r="AE30" s="7" t="s">
        <v>431</v>
      </c>
      <c r="AF30" s="7"/>
      <c r="AG30" s="6"/>
      <c r="AH30" s="6"/>
      <c r="AI30" s="6"/>
      <c r="AJ30" s="6"/>
      <c r="AK30" s="41" t="s">
        <v>422</v>
      </c>
      <c r="AL30" s="6"/>
      <c r="AM30" s="6"/>
      <c r="AN30" s="6"/>
      <c r="AO30" s="6"/>
      <c r="AP30" s="6"/>
      <c r="AQ30" s="6"/>
      <c r="AR30" s="6"/>
    </row>
    <row r="31" spans="1:44" ht="21.95" customHeight="1" thickBot="1">
      <c r="A31" s="116"/>
      <c r="B31" s="112"/>
      <c r="C31" s="112"/>
      <c r="D31" s="113"/>
      <c r="E31" s="763"/>
      <c r="F31" s="763"/>
      <c r="G31" s="763"/>
      <c r="H31" s="763"/>
      <c r="I31" s="763"/>
      <c r="J31" s="763"/>
      <c r="K31" s="763"/>
      <c r="L31" s="763"/>
      <c r="M31" s="763"/>
      <c r="N31" s="763"/>
      <c r="O31" s="763"/>
      <c r="P31" s="763"/>
      <c r="Q31" s="763"/>
      <c r="R31" s="763"/>
      <c r="S31" s="763"/>
      <c r="T31" s="763"/>
      <c r="U31" s="763"/>
      <c r="V31" s="763"/>
      <c r="W31" s="763"/>
      <c r="X31" s="763"/>
      <c r="Y31" s="763"/>
      <c r="Z31" s="763"/>
      <c r="AA31" s="763"/>
      <c r="AB31" s="6"/>
      <c r="AC31" s="6"/>
      <c r="AD31" s="6"/>
      <c r="AE31" s="7" t="s">
        <v>432</v>
      </c>
      <c r="AF31" s="7"/>
      <c r="AG31" s="6"/>
      <c r="AH31" s="6"/>
      <c r="AI31" s="6"/>
      <c r="AJ31" s="6"/>
      <c r="AK31" s="41" t="s">
        <v>433</v>
      </c>
      <c r="AL31" s="6"/>
      <c r="AM31" s="6"/>
      <c r="AN31" s="6"/>
      <c r="AO31" s="6"/>
      <c r="AP31" s="6"/>
      <c r="AQ31" s="6"/>
      <c r="AR31" s="6"/>
    </row>
    <row r="32" spans="1:44" ht="21.95" customHeight="1" thickBot="1">
      <c r="A32" s="1202" t="s">
        <v>434</v>
      </c>
      <c r="B32" s="379"/>
      <c r="C32" s="379"/>
      <c r="D32" s="379"/>
      <c r="E32" s="763"/>
      <c r="F32" s="763"/>
      <c r="G32" s="763"/>
      <c r="H32" s="763"/>
      <c r="I32" s="763"/>
      <c r="J32" s="763"/>
      <c r="K32" s="763"/>
      <c r="L32" s="763"/>
      <c r="M32" s="763"/>
      <c r="N32" s="763"/>
      <c r="O32" s="763"/>
      <c r="P32" s="763"/>
      <c r="Q32" s="763"/>
      <c r="R32" s="763"/>
      <c r="S32" s="763"/>
      <c r="T32" s="763"/>
      <c r="U32" s="763"/>
      <c r="V32" s="763"/>
      <c r="W32" s="763"/>
      <c r="X32" s="763"/>
      <c r="Y32" s="763"/>
      <c r="Z32" s="763"/>
      <c r="AA32" s="763"/>
      <c r="AB32" s="6"/>
      <c r="AC32" s="6"/>
      <c r="AD32" s="6"/>
      <c r="AE32" s="7" t="s">
        <v>435</v>
      </c>
      <c r="AF32" s="7"/>
      <c r="AG32" s="7" t="s">
        <v>402</v>
      </c>
      <c r="AH32" s="6"/>
      <c r="AI32" s="6"/>
      <c r="AJ32" s="6"/>
      <c r="AK32" s="41" t="s">
        <v>436</v>
      </c>
      <c r="AL32" s="6"/>
      <c r="AM32" s="6"/>
      <c r="AN32" s="6"/>
      <c r="AO32" s="6"/>
      <c r="AP32" s="6"/>
      <c r="AQ32" s="6"/>
      <c r="AR32" s="6"/>
    </row>
    <row r="33" spans="1:44" ht="21.95" customHeight="1" thickBot="1">
      <c r="A33" s="115"/>
      <c r="B33" s="109" t="s">
        <v>91</v>
      </c>
      <c r="C33" s="767"/>
      <c r="D33" s="111"/>
      <c r="E33" s="763"/>
      <c r="F33" s="763"/>
      <c r="G33" s="763"/>
      <c r="H33" s="763"/>
      <c r="I33" s="763"/>
      <c r="J33" s="763"/>
      <c r="K33" s="763"/>
      <c r="L33" s="763"/>
      <c r="M33" s="763"/>
      <c r="N33" s="763"/>
      <c r="O33" s="763"/>
      <c r="P33" s="763"/>
      <c r="Q33" s="763"/>
      <c r="R33" s="763"/>
      <c r="S33" s="763"/>
      <c r="T33" s="763"/>
      <c r="U33" s="763"/>
      <c r="V33" s="763"/>
      <c r="W33" s="763"/>
      <c r="X33" s="763"/>
      <c r="Y33" s="763"/>
      <c r="Z33" s="763"/>
      <c r="AA33" s="763"/>
      <c r="AB33" s="6"/>
      <c r="AC33" s="6"/>
      <c r="AD33" s="6"/>
      <c r="AE33" s="7"/>
      <c r="AF33" s="7"/>
      <c r="AG33" s="7" t="s">
        <v>405</v>
      </c>
      <c r="AH33" s="6"/>
      <c r="AI33" s="6"/>
      <c r="AJ33" s="6"/>
      <c r="AK33" s="41" t="s">
        <v>437</v>
      </c>
      <c r="AL33" s="6"/>
      <c r="AM33" s="6"/>
      <c r="AN33" s="6"/>
      <c r="AO33" s="6"/>
      <c r="AP33" s="6"/>
      <c r="AQ33" s="6"/>
      <c r="AR33" s="6"/>
    </row>
    <row r="34" spans="1:44" ht="44.1" customHeight="1" thickBot="1">
      <c r="A34" s="115"/>
      <c r="B34" s="908"/>
      <c r="C34" s="909"/>
      <c r="D34" s="910"/>
      <c r="E34" s="763"/>
      <c r="F34" s="763"/>
      <c r="G34" s="763"/>
      <c r="H34" s="763"/>
      <c r="I34" s="763"/>
      <c r="J34" s="763"/>
      <c r="K34" s="763"/>
      <c r="L34" s="763"/>
      <c r="M34" s="763"/>
      <c r="N34" s="763"/>
      <c r="O34" s="763"/>
      <c r="P34" s="763"/>
      <c r="Q34" s="763"/>
      <c r="R34" s="763"/>
      <c r="S34" s="763"/>
      <c r="T34" s="763"/>
      <c r="U34" s="763"/>
      <c r="V34" s="763"/>
      <c r="W34" s="763"/>
      <c r="X34" s="763"/>
      <c r="Y34" s="763"/>
      <c r="Z34" s="763"/>
      <c r="AA34" s="763"/>
      <c r="AB34" s="6"/>
      <c r="AC34" s="6"/>
      <c r="AD34" s="6"/>
      <c r="AE34" s="7"/>
      <c r="AF34" s="7"/>
      <c r="AG34" s="7" t="s">
        <v>422</v>
      </c>
      <c r="AH34" s="6"/>
      <c r="AI34" s="6"/>
      <c r="AJ34" s="6"/>
      <c r="AK34" s="41" t="s">
        <v>438</v>
      </c>
      <c r="AL34" s="6"/>
      <c r="AM34" s="6"/>
      <c r="AN34" s="6"/>
      <c r="AO34" s="6"/>
      <c r="AP34" s="6"/>
      <c r="AQ34" s="6"/>
      <c r="AR34" s="6"/>
    </row>
    <row r="35" spans="1:44" ht="21.95" customHeight="1">
      <c r="A35" s="116"/>
      <c r="B35" s="61"/>
      <c r="C35" s="61"/>
      <c r="D35" s="62"/>
      <c r="E35" s="763"/>
      <c r="F35" s="763"/>
      <c r="G35" s="763"/>
      <c r="H35" s="763"/>
      <c r="I35" s="763"/>
      <c r="J35" s="763"/>
      <c r="K35" s="763"/>
      <c r="L35" s="763"/>
      <c r="M35" s="763"/>
      <c r="N35" s="763"/>
      <c r="O35" s="763"/>
      <c r="P35" s="763"/>
      <c r="Q35" s="763"/>
      <c r="R35" s="763"/>
      <c r="S35" s="763"/>
      <c r="T35" s="763"/>
      <c r="U35" s="763"/>
      <c r="V35" s="763"/>
      <c r="W35" s="763"/>
      <c r="X35" s="763"/>
      <c r="Y35" s="763"/>
      <c r="Z35" s="763"/>
      <c r="AA35" s="763"/>
      <c r="AB35" s="6"/>
      <c r="AC35" s="6"/>
      <c r="AD35" s="6"/>
      <c r="AE35" s="7"/>
      <c r="AF35" s="7"/>
      <c r="AG35" s="6" t="s">
        <v>439</v>
      </c>
      <c r="AH35" s="6"/>
      <c r="AI35" s="6"/>
      <c r="AJ35" s="6"/>
      <c r="AK35" s="41" t="s">
        <v>440</v>
      </c>
      <c r="AL35" s="6"/>
      <c r="AM35" s="6"/>
      <c r="AN35" s="6"/>
      <c r="AO35" s="6"/>
      <c r="AP35" s="6"/>
      <c r="AQ35" s="6"/>
      <c r="AR35" s="6"/>
    </row>
    <row r="36" spans="1:44" ht="21.95" customHeight="1" thickBot="1">
      <c r="A36" s="1202" t="s">
        <v>441</v>
      </c>
      <c r="B36" s="733"/>
      <c r="C36" s="733"/>
      <c r="D36" s="1173"/>
      <c r="E36" s="763"/>
      <c r="F36" s="763"/>
      <c r="G36" s="763"/>
      <c r="H36" s="763"/>
      <c r="I36" s="763"/>
      <c r="J36" s="763"/>
      <c r="K36" s="763"/>
      <c r="L36" s="763"/>
      <c r="M36" s="763"/>
      <c r="N36" s="763"/>
      <c r="O36" s="763"/>
      <c r="P36" s="763"/>
      <c r="Q36" s="763"/>
      <c r="R36" s="763"/>
      <c r="S36" s="763"/>
      <c r="T36" s="763"/>
      <c r="U36" s="763"/>
      <c r="V36" s="763"/>
      <c r="W36" s="763"/>
      <c r="X36" s="763"/>
      <c r="Y36" s="763"/>
      <c r="Z36" s="763"/>
      <c r="AA36" s="763"/>
      <c r="AB36" s="6"/>
      <c r="AC36" s="6"/>
      <c r="AD36" s="6"/>
      <c r="AE36" s="763"/>
      <c r="AF36" s="763"/>
      <c r="AG36" s="6"/>
      <c r="AH36" s="6"/>
      <c r="AI36" s="6"/>
      <c r="AJ36" s="6"/>
      <c r="AK36" s="41" t="s">
        <v>442</v>
      </c>
      <c r="AL36" s="6"/>
      <c r="AM36" s="6"/>
      <c r="AN36" s="6"/>
      <c r="AO36" s="6"/>
      <c r="AP36" s="6"/>
      <c r="AQ36" s="6"/>
      <c r="AR36" s="6"/>
    </row>
    <row r="37" spans="1:44" ht="44.1" customHeight="1" thickBot="1">
      <c r="A37" s="115"/>
      <c r="B37" s="908"/>
      <c r="C37" s="909"/>
      <c r="D37" s="910"/>
      <c r="E37" s="763"/>
      <c r="F37" s="763"/>
      <c r="G37" s="763"/>
      <c r="H37" s="763"/>
      <c r="I37" s="763"/>
      <c r="J37" s="763"/>
      <c r="K37" s="763"/>
      <c r="L37" s="763"/>
      <c r="M37" s="763"/>
      <c r="N37" s="763"/>
      <c r="O37" s="763"/>
      <c r="P37" s="763"/>
      <c r="Q37" s="763"/>
      <c r="R37" s="763"/>
      <c r="S37" s="763"/>
      <c r="T37" s="763"/>
      <c r="U37" s="763"/>
      <c r="V37" s="763"/>
      <c r="W37" s="763"/>
      <c r="X37" s="763"/>
      <c r="Y37" s="763"/>
      <c r="Z37" s="763"/>
      <c r="AA37" s="763"/>
      <c r="AB37" s="6"/>
      <c r="AC37" s="6"/>
      <c r="AD37" s="6"/>
      <c r="AE37" s="763"/>
      <c r="AF37" s="763"/>
      <c r="AG37" s="6"/>
      <c r="AH37" s="6"/>
      <c r="AI37" s="6"/>
      <c r="AJ37" s="6"/>
      <c r="AK37" s="41" t="s">
        <v>443</v>
      </c>
      <c r="AL37" s="6"/>
      <c r="AM37" s="6"/>
      <c r="AN37" s="6"/>
      <c r="AO37" s="6"/>
      <c r="AP37" s="6"/>
      <c r="AQ37" s="6"/>
      <c r="AR37" s="6"/>
    </row>
    <row r="38" spans="1:44" ht="21.95" customHeight="1">
      <c r="A38" s="116"/>
      <c r="B38" s="112"/>
      <c r="C38" s="112"/>
      <c r="D38" s="113"/>
      <c r="E38" s="763"/>
      <c r="F38" s="763"/>
      <c r="G38" s="763"/>
      <c r="H38" s="763"/>
      <c r="I38" s="763"/>
      <c r="J38" s="763"/>
      <c r="K38" s="763"/>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6"/>
      <c r="AI38" s="763"/>
      <c r="AJ38" s="763"/>
      <c r="AK38" s="41" t="s">
        <v>444</v>
      </c>
      <c r="AL38" s="763"/>
      <c r="AM38" s="763"/>
      <c r="AN38" s="763"/>
      <c r="AO38" s="763"/>
      <c r="AP38" s="763"/>
      <c r="AQ38" s="763"/>
      <c r="AR38" s="763"/>
    </row>
    <row r="39" spans="1:44" ht="12.75" customHeight="1">
      <c r="A39" s="763"/>
      <c r="B39" s="763"/>
      <c r="C39" s="763"/>
      <c r="D39" s="784"/>
      <c r="E39" s="763"/>
      <c r="F39" s="763"/>
      <c r="G39" s="763"/>
      <c r="H39" s="763"/>
      <c r="I39" s="763"/>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763"/>
      <c r="AJ39" s="763"/>
      <c r="AK39" s="763"/>
      <c r="AL39" s="763"/>
      <c r="AM39" s="763"/>
      <c r="AN39" s="763"/>
      <c r="AO39" s="763"/>
      <c r="AP39" s="763"/>
      <c r="AQ39" s="763"/>
      <c r="AR39" s="763"/>
    </row>
  </sheetData>
  <sheetProtection autoFilter="0"/>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'P-Overview'!$AD$5:$AD$165</xm:f>
          </x14:formula1>
          <xm:sqref>D5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23E5-C270-44D7-9A09-25709C1B2A44}">
  <sheetPr codeName="Sheet20">
    <tabColor theme="9" tint="-0.249977111117893"/>
    <pageSetUpPr fitToPage="1"/>
  </sheetPr>
  <dimension ref="A1:IP63"/>
  <sheetViews>
    <sheetView showGridLines="0" workbookViewId="0">
      <selection activeCell="D8" sqref="D8"/>
    </sheetView>
  </sheetViews>
  <sheetFormatPr defaultColWidth="9.140625" defaultRowHeight="12.75"/>
  <cols>
    <col min="1" max="1" width="11.7109375" style="15" customWidth="1"/>
    <col min="2" max="2" width="4.28515625" style="15" customWidth="1"/>
    <col min="3" max="3" width="23.85546875" style="15" customWidth="1"/>
    <col min="4" max="4" width="48.85546875" style="15" customWidth="1"/>
    <col min="5" max="8" width="31.7109375" style="15" customWidth="1"/>
    <col min="9" max="9" width="2.28515625" style="15" customWidth="1"/>
    <col min="10" max="10" width="22.7109375" style="15" customWidth="1"/>
    <col min="11" max="11" width="13.42578125" style="15" customWidth="1"/>
    <col min="12" max="12" width="15.28515625" bestFit="1" customWidth="1"/>
    <col min="13" max="13" width="12.7109375" customWidth="1"/>
    <col min="14" max="14" width="19.7109375" bestFit="1" customWidth="1"/>
    <col min="17" max="16384" width="9.140625" style="15"/>
  </cols>
  <sheetData>
    <row r="1" spans="1:250" s="100" customFormat="1" ht="18" customHeight="1">
      <c r="A1" s="762" t="s">
        <v>48</v>
      </c>
      <c r="L1" s="759"/>
      <c r="M1" s="759"/>
      <c r="N1" s="759"/>
      <c r="O1" s="759"/>
      <c r="P1" s="759"/>
    </row>
    <row r="2" spans="1:250" ht="18" customHeight="1">
      <c r="B2" s="16"/>
      <c r="C2" s="16"/>
      <c r="D2" s="16"/>
      <c r="E2" s="17"/>
      <c r="H2" s="17"/>
      <c r="L2" s="759"/>
      <c r="M2" s="759"/>
      <c r="N2" s="759"/>
      <c r="O2" s="759"/>
      <c r="P2" s="759"/>
      <c r="AA2" s="15" t="s">
        <v>160</v>
      </c>
    </row>
    <row r="3" spans="1:250" ht="18" customHeight="1">
      <c r="A3" s="24" t="s">
        <v>445</v>
      </c>
      <c r="D3" s="45"/>
      <c r="F3" s="18"/>
      <c r="L3" s="759"/>
      <c r="M3" s="759"/>
      <c r="N3" s="759"/>
      <c r="O3" s="759"/>
      <c r="P3" s="759"/>
      <c r="AA3" s="15" t="s">
        <v>284</v>
      </c>
    </row>
    <row r="4" spans="1:250" ht="18" customHeight="1">
      <c r="A4" s="918" t="s">
        <v>533</v>
      </c>
      <c r="B4" s="918"/>
      <c r="C4" s="863"/>
      <c r="D4" s="424"/>
      <c r="F4" s="18"/>
      <c r="L4" s="759"/>
      <c r="M4" s="759"/>
      <c r="N4" s="759"/>
      <c r="O4" s="759"/>
      <c r="P4" s="759"/>
    </row>
    <row r="5" spans="1:250" ht="18" customHeight="1">
      <c r="A5" s="918" t="s">
        <v>534</v>
      </c>
      <c r="B5" s="918"/>
      <c r="C5" s="921"/>
      <c r="D5" s="425"/>
      <c r="E5" s="759"/>
      <c r="F5" s="759"/>
      <c r="G5" s="759"/>
      <c r="H5" s="759"/>
      <c r="L5" s="759"/>
      <c r="M5" s="759"/>
      <c r="N5" s="759"/>
      <c r="O5" s="759"/>
      <c r="P5" s="759"/>
    </row>
    <row r="6" spans="1:250" ht="18" customHeight="1">
      <c r="A6" s="918" t="s">
        <v>535</v>
      </c>
      <c r="B6" s="918"/>
      <c r="C6" s="921"/>
      <c r="D6" s="425"/>
      <c r="E6" s="759"/>
      <c r="F6" s="759"/>
      <c r="G6" s="759"/>
      <c r="H6" s="759"/>
      <c r="L6" s="759"/>
      <c r="M6" s="759"/>
      <c r="N6" s="759"/>
      <c r="O6" s="759"/>
      <c r="P6" s="759"/>
    </row>
    <row r="7" spans="1:250" ht="18" customHeight="1">
      <c r="A7" s="281" t="s">
        <v>536</v>
      </c>
      <c r="B7" s="781"/>
      <c r="C7" s="782"/>
      <c r="D7" s="261"/>
      <c r="E7" s="759"/>
      <c r="F7" s="759"/>
      <c r="G7" s="759"/>
      <c r="H7" s="759"/>
      <c r="L7" s="759"/>
      <c r="M7" s="759"/>
      <c r="N7" s="759"/>
      <c r="O7" s="759"/>
      <c r="P7" s="759"/>
    </row>
    <row r="8" spans="1:250" ht="18" customHeight="1">
      <c r="A8" s="918" t="s">
        <v>450</v>
      </c>
      <c r="B8" s="918"/>
      <c r="C8" s="921"/>
      <c r="D8" s="261"/>
      <c r="E8" s="759"/>
      <c r="F8" s="759"/>
      <c r="G8" s="759"/>
      <c r="H8" s="759"/>
      <c r="L8" s="759"/>
      <c r="M8" s="759"/>
      <c r="N8" s="759"/>
      <c r="O8" s="759"/>
      <c r="P8" s="759"/>
    </row>
    <row r="9" spans="1:250" ht="18" customHeight="1">
      <c r="A9" s="922" t="s">
        <v>451</v>
      </c>
      <c r="B9" s="922"/>
      <c r="C9" s="921"/>
      <c r="D9" s="19"/>
      <c r="L9" s="759"/>
      <c r="M9" s="759"/>
      <c r="N9" s="759"/>
      <c r="O9" s="759"/>
      <c r="P9" s="759"/>
    </row>
    <row r="10" spans="1:250" ht="18" customHeight="1" thickBot="1">
      <c r="C10" s="128"/>
      <c r="D10" s="759"/>
      <c r="L10" s="759"/>
      <c r="M10" s="759"/>
      <c r="N10" s="759"/>
      <c r="O10" s="759"/>
      <c r="P10" s="759"/>
    </row>
    <row r="11" spans="1:250" s="5" customFormat="1" ht="18" customHeight="1" thickBot="1">
      <c r="A11" s="29"/>
      <c r="B11" s="29"/>
      <c r="C11" s="29"/>
      <c r="D11" s="29"/>
      <c r="E11" s="912" t="s">
        <v>452</v>
      </c>
      <c r="F11" s="913"/>
      <c r="G11" s="913"/>
      <c r="H11" s="914"/>
      <c r="I11" s="29"/>
      <c r="J11" s="29"/>
      <c r="K11" s="29"/>
      <c r="L11" s="759"/>
      <c r="M11" s="759"/>
      <c r="N11" s="759"/>
      <c r="O11" s="759"/>
      <c r="P11" s="75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row>
    <row r="12" spans="1:250" s="5" customFormat="1" ht="33" customHeight="1" thickBot="1">
      <c r="A12" s="29"/>
      <c r="B12" s="29"/>
      <c r="C12" s="29"/>
      <c r="D12" s="29"/>
      <c r="E12" s="371" t="s">
        <v>453</v>
      </c>
      <c r="F12" s="371" t="s">
        <v>454</v>
      </c>
      <c r="G12" s="371" t="s">
        <v>455</v>
      </c>
      <c r="H12" s="372" t="s">
        <v>456</v>
      </c>
      <c r="I12" s="29"/>
      <c r="J12" s="29"/>
      <c r="K12" s="29"/>
      <c r="L12" s="759"/>
      <c r="M12" s="759"/>
      <c r="N12" s="759"/>
      <c r="O12" s="759"/>
      <c r="P12" s="75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row>
    <row r="13" spans="1:250" s="5" customFormat="1" ht="33" customHeight="1" thickBot="1">
      <c r="A13" s="29"/>
      <c r="B13" s="29"/>
      <c r="C13" s="29"/>
      <c r="D13" s="29"/>
      <c r="E13" s="763"/>
      <c r="F13" s="119"/>
      <c r="G13" s="119"/>
      <c r="H13" s="380"/>
      <c r="I13" s="29"/>
      <c r="J13" s="29"/>
      <c r="K13" s="29"/>
      <c r="L13" s="759"/>
      <c r="M13" s="759"/>
      <c r="N13" s="759"/>
      <c r="O13" s="759"/>
      <c r="P13" s="75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row>
    <row r="14" spans="1:250" s="5" customFormat="1" ht="18" customHeight="1">
      <c r="A14" s="118" t="s">
        <v>457</v>
      </c>
      <c r="B14" s="29"/>
      <c r="C14" s="29"/>
      <c r="D14" s="29"/>
      <c r="E14" s="368" t="str">
        <f>"Cell "&amp;ADDRESS(ROW(D4),COLUMN(D4))&amp;" to be filled in first for the fillable  form below to be available to fill."</f>
        <v>Cell $D$4 to be filled in first for the fillable  form below to be available to fill.</v>
      </c>
      <c r="F14" s="367"/>
      <c r="G14" s="367"/>
      <c r="H14" s="119"/>
      <c r="I14" s="29"/>
      <c r="J14" s="29"/>
      <c r="K14" s="29"/>
      <c r="L14" s="759"/>
      <c r="M14" s="759"/>
      <c r="N14" s="759"/>
      <c r="O14" s="759"/>
      <c r="P14" s="75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row>
    <row r="15" spans="1:250" s="5" customFormat="1" ht="18" customHeight="1">
      <c r="A15" s="118"/>
      <c r="B15" s="29" t="s">
        <v>458</v>
      </c>
      <c r="C15" s="29" t="s">
        <v>459</v>
      </c>
      <c r="D15" s="29"/>
      <c r="E15" s="262"/>
      <c r="F15" s="262"/>
      <c r="G15" s="262"/>
      <c r="H15" s="365">
        <f>D6</f>
        <v>0</v>
      </c>
      <c r="I15" s="29"/>
      <c r="J15" s="29"/>
      <c r="K15" s="29"/>
      <c r="L15" s="759"/>
      <c r="M15" s="759"/>
      <c r="N15" s="759"/>
      <c r="O15" s="759"/>
      <c r="P15" s="75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row>
    <row r="16" spans="1:250" s="5" customFormat="1" ht="18" customHeight="1">
      <c r="A16" s="118"/>
      <c r="B16" s="29" t="s">
        <v>460</v>
      </c>
      <c r="C16" s="29" t="s">
        <v>461</v>
      </c>
      <c r="D16" s="29"/>
      <c r="E16" s="262"/>
      <c r="F16" s="262"/>
      <c r="G16" s="262"/>
      <c r="H16" s="783"/>
      <c r="I16" s="29"/>
      <c r="J16" s="763"/>
      <c r="K16" s="29"/>
      <c r="L16" s="759"/>
      <c r="M16" s="759"/>
      <c r="N16" s="759"/>
      <c r="O16" s="759"/>
      <c r="P16" s="75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row>
    <row r="17" spans="1:250" s="5" customFormat="1" ht="18" customHeight="1">
      <c r="A17" s="118"/>
      <c r="B17" s="29" t="s">
        <v>462</v>
      </c>
      <c r="C17" s="29" t="s">
        <v>463</v>
      </c>
      <c r="D17" s="29"/>
      <c r="E17" s="262"/>
      <c r="F17" s="262"/>
      <c r="G17" s="262"/>
      <c r="H17" s="783" t="str">
        <f>"Richmond, VA (HCI: "&amp;INDEX('P-HCI'!$A$5:$HD$34,MATCH(MAX('P-HCI'!$A$5:$A$34),'P-HCI'!$A$5:$A$34,0),MATCH("Richmond",'P-HCI'!$A$5:$HD$5,0))&amp;")"</f>
        <v>Richmond, VA (HCI: 264.6)</v>
      </c>
      <c r="I17" s="29"/>
      <c r="J17" s="323" t="s">
        <v>537</v>
      </c>
      <c r="K17" s="29"/>
      <c r="L17" s="312"/>
      <c r="M17" s="759"/>
      <c r="N17" s="759"/>
      <c r="O17" s="759"/>
      <c r="P17" s="75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row>
    <row r="18" spans="1:250" s="5" customFormat="1" ht="18" customHeight="1">
      <c r="A18" s="118"/>
      <c r="B18" s="29" t="s">
        <v>465</v>
      </c>
      <c r="C18" s="29" t="s">
        <v>466</v>
      </c>
      <c r="D18" s="29"/>
      <c r="E18" s="261"/>
      <c r="F18" s="261"/>
      <c r="G18" s="261"/>
      <c r="H18" s="783"/>
      <c r="I18" s="29"/>
      <c r="J18" s="29"/>
      <c r="K18" s="29"/>
      <c r="L18" s="311"/>
      <c r="M18" s="759"/>
      <c r="N18" s="759"/>
      <c r="O18" s="759"/>
      <c r="P18" s="75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row>
    <row r="19" spans="1:250" s="5" customFormat="1" ht="18" customHeight="1">
      <c r="A19" s="118"/>
      <c r="B19" s="29"/>
      <c r="C19" s="29"/>
      <c r="D19" s="29"/>
      <c r="E19" s="29"/>
      <c r="F19" s="29"/>
      <c r="G19" s="29"/>
      <c r="H19" s="783"/>
      <c r="I19" s="29"/>
      <c r="J19" s="29"/>
      <c r="K19" s="29"/>
      <c r="L19" s="311"/>
      <c r="M19" s="310"/>
      <c r="N19" s="759"/>
      <c r="O19" s="759"/>
      <c r="P19" s="75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row>
    <row r="20" spans="1:250" s="5" customFormat="1" ht="18" customHeight="1">
      <c r="A20" s="118" t="s">
        <v>467</v>
      </c>
      <c r="B20" s="29"/>
      <c r="C20" s="29"/>
      <c r="D20" s="29"/>
      <c r="E20" s="29"/>
      <c r="F20" s="29"/>
      <c r="G20" s="29"/>
      <c r="H20" s="783"/>
      <c r="I20" s="29"/>
      <c r="J20" s="763"/>
      <c r="K20" s="29"/>
      <c r="L20" s="311"/>
      <c r="M20" s="759"/>
      <c r="N20" s="759"/>
      <c r="O20" s="759"/>
      <c r="P20" s="75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row>
    <row r="21" spans="1:250" s="5" customFormat="1" ht="18" customHeight="1">
      <c r="A21" s="118"/>
      <c r="B21" s="29" t="s">
        <v>468</v>
      </c>
      <c r="C21" s="29" t="s">
        <v>469</v>
      </c>
      <c r="D21" s="29"/>
      <c r="E21" s="362"/>
      <c r="F21" s="362"/>
      <c r="G21" s="363"/>
      <c r="H21" s="366">
        <f>IFERROR(_xlfn.XLOOKUP($D$6,'VBCCD Table'!$E$8:$E$66,'VBCCD Table'!$J$8:$J$66,,0),0)</f>
        <v>0</v>
      </c>
      <c r="I21" s="29"/>
      <c r="J21" s="763"/>
      <c r="K21" s="29"/>
      <c r="L21" s="311"/>
      <c r="M21" s="759"/>
      <c r="N21" s="759"/>
      <c r="O21" s="759"/>
      <c r="P21" s="75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row>
    <row r="22" spans="1:250" s="5" customFormat="1" ht="18" customHeight="1">
      <c r="A22" s="118"/>
      <c r="B22" s="29" t="s">
        <v>470</v>
      </c>
      <c r="C22" s="29" t="s">
        <v>471</v>
      </c>
      <c r="D22" s="29"/>
      <c r="E22" s="374"/>
      <c r="F22" s="374"/>
      <c r="G22" s="374"/>
      <c r="H22" s="375">
        <f>IFERROR(_xlfn.XLOOKUP($D$6,'VBCCD Table'!$E$8:$E$66,'VBCCD Table'!$L$8:$L$66,,0),0)</f>
        <v>0</v>
      </c>
      <c r="I22" s="29"/>
      <c r="J22" s="29"/>
      <c r="K22" s="29"/>
      <c r="L22" s="311"/>
      <c r="M22" s="759"/>
      <c r="N22" s="759"/>
      <c r="O22" s="759"/>
      <c r="P22" s="75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row>
    <row r="23" spans="1:250" s="5" customFormat="1" ht="18" customHeight="1">
      <c r="A23" s="118"/>
      <c r="B23" s="29" t="s">
        <v>472</v>
      </c>
      <c r="C23" s="29" t="s">
        <v>473</v>
      </c>
      <c r="D23" s="323"/>
      <c r="E23" s="1174"/>
      <c r="F23" s="1175"/>
      <c r="G23" s="1175"/>
      <c r="H23" s="1176"/>
      <c r="I23" s="29"/>
      <c r="J23" s="29"/>
      <c r="K23" s="29"/>
      <c r="L23" s="311"/>
      <c r="M23" s="759"/>
      <c r="N23" s="759"/>
      <c r="O23" s="759"/>
      <c r="P23" s="75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row>
    <row r="24" spans="1:250" s="5" customFormat="1" ht="18" customHeight="1">
      <c r="A24" s="118"/>
      <c r="B24" s="29" t="s">
        <v>474</v>
      </c>
      <c r="C24" s="29" t="s">
        <v>475</v>
      </c>
      <c r="D24" s="29"/>
      <c r="E24" s="376"/>
      <c r="F24" s="376"/>
      <c r="G24" s="377"/>
      <c r="H24" s="759"/>
      <c r="I24" s="29"/>
      <c r="J24" s="29"/>
      <c r="K24" s="29"/>
      <c r="L24" s="311"/>
      <c r="M24" s="759"/>
      <c r="N24" s="759"/>
      <c r="O24" s="759"/>
      <c r="P24" s="75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row>
    <row r="25" spans="1:250" s="5" customFormat="1" ht="18" customHeight="1">
      <c r="A25" s="118"/>
      <c r="B25" s="29" t="s">
        <v>476</v>
      </c>
      <c r="C25" s="29" t="s">
        <v>477</v>
      </c>
      <c r="D25" s="29"/>
      <c r="E25" s="120"/>
      <c r="F25" s="120"/>
      <c r="G25" s="120"/>
      <c r="H25" s="759"/>
      <c r="I25" s="29"/>
      <c r="J25" s="29"/>
      <c r="K25" s="29"/>
      <c r="L25" s="759"/>
      <c r="M25" s="759"/>
      <c r="N25" s="759"/>
      <c r="O25" s="759"/>
      <c r="P25" s="75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row>
    <row r="26" spans="1:250" s="5" customFormat="1" ht="18" customHeight="1">
      <c r="A26" s="118"/>
      <c r="B26" s="29"/>
      <c r="C26" s="29"/>
      <c r="D26" s="29"/>
      <c r="E26" s="29"/>
      <c r="F26" s="29"/>
      <c r="G26" s="29"/>
      <c r="H26" s="96"/>
      <c r="I26" s="29"/>
      <c r="J26" s="29"/>
      <c r="K26" s="29"/>
      <c r="L26" s="759"/>
      <c r="M26" s="759"/>
      <c r="N26" s="759"/>
      <c r="O26" s="759"/>
      <c r="P26" s="75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row>
    <row r="27" spans="1:250" s="5" customFormat="1" ht="18" customHeight="1">
      <c r="A27" s="118" t="s">
        <v>478</v>
      </c>
      <c r="B27" s="29"/>
      <c r="C27" s="29"/>
      <c r="D27" s="29"/>
      <c r="E27" s="29"/>
      <c r="F27" s="29"/>
      <c r="G27" s="29"/>
      <c r="H27" s="783"/>
      <c r="I27" s="29"/>
      <c r="J27" s="29" t="s">
        <v>32</v>
      </c>
      <c r="K27" s="29"/>
      <c r="L27" s="759"/>
      <c r="M27" s="759"/>
      <c r="N27" s="759"/>
      <c r="O27" s="759"/>
      <c r="P27" s="75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row>
    <row r="28" spans="1:250" s="5" customFormat="1" ht="18" customHeight="1">
      <c r="A28" s="118"/>
      <c r="B28" s="29"/>
      <c r="C28" s="29"/>
      <c r="D28" s="326"/>
      <c r="E28" s="29" t="s">
        <v>479</v>
      </c>
      <c r="F28" s="29" t="s">
        <v>479</v>
      </c>
      <c r="G28" s="29" t="s">
        <v>479</v>
      </c>
      <c r="H28" s="783"/>
      <c r="I28" s="29"/>
      <c r="J28" s="763"/>
      <c r="K28" s="29"/>
      <c r="L28" s="759"/>
      <c r="M28" s="759"/>
      <c r="N28" s="759"/>
      <c r="O28" s="759"/>
      <c r="P28" s="75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row>
    <row r="29" spans="1:250" s="5" customFormat="1" ht="18" customHeight="1">
      <c r="A29" s="118"/>
      <c r="B29" s="29" t="s">
        <v>480</v>
      </c>
      <c r="C29" s="29" t="s">
        <v>481</v>
      </c>
      <c r="D29" s="29"/>
      <c r="E29" s="21"/>
      <c r="F29" s="21"/>
      <c r="G29" s="21"/>
      <c r="H29" s="783"/>
      <c r="I29" s="29"/>
      <c r="J29" s="6"/>
      <c r="K29" s="296"/>
      <c r="L29" s="759"/>
      <c r="M29" s="759"/>
      <c r="N29" s="759"/>
      <c r="O29" s="759"/>
      <c r="P29" s="75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row>
    <row r="30" spans="1:250" s="5" customFormat="1" ht="18" customHeight="1">
      <c r="A30" s="118"/>
      <c r="B30" s="29" t="s">
        <v>482</v>
      </c>
      <c r="C30" s="29" t="s">
        <v>483</v>
      </c>
      <c r="D30" s="29"/>
      <c r="E30" s="21"/>
      <c r="F30" s="21"/>
      <c r="G30" s="21"/>
      <c r="H30" s="783"/>
      <c r="I30" s="29"/>
      <c r="J30" s="29"/>
      <c r="K30" s="296"/>
      <c r="L30" s="759"/>
      <c r="M30" s="759"/>
      <c r="N30" s="759"/>
      <c r="O30" s="759"/>
      <c r="P30" s="75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row>
    <row r="31" spans="1:250" s="5" customFormat="1" ht="18" customHeight="1">
      <c r="A31" s="29"/>
      <c r="B31" s="29" t="s">
        <v>484</v>
      </c>
      <c r="C31" s="29" t="s">
        <v>485</v>
      </c>
      <c r="D31" s="29"/>
      <c r="E31" s="121">
        <f>IF(OR(E29="",E22=""),0,(E29+E30)/E22)</f>
        <v>0</v>
      </c>
      <c r="F31" s="121">
        <f t="shared" ref="F31:G31" si="0">IF(OR(F29="",F22=""),0,(F29+F30)/F22)</f>
        <v>0</v>
      </c>
      <c r="G31" s="121">
        <f t="shared" si="0"/>
        <v>0</v>
      </c>
      <c r="H31" s="783"/>
      <c r="I31" s="29"/>
      <c r="J31" s="29"/>
      <c r="K31" s="296"/>
      <c r="L31" s="759"/>
      <c r="M31" s="759"/>
      <c r="N31" s="759"/>
      <c r="O31" s="759"/>
      <c r="P31" s="75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row>
    <row r="32" spans="1:250" s="5" customFormat="1" ht="18" customHeight="1">
      <c r="A32" s="29"/>
      <c r="B32" s="29"/>
      <c r="C32" s="29"/>
      <c r="D32" s="29"/>
      <c r="E32" s="783"/>
      <c r="F32" s="783"/>
      <c r="G32" s="783"/>
      <c r="H32" s="763"/>
      <c r="I32" s="29"/>
      <c r="J32" s="29"/>
      <c r="K32" s="29"/>
      <c r="L32" s="193"/>
      <c r="M32" s="759"/>
      <c r="N32" s="759"/>
      <c r="O32" s="759"/>
      <c r="P32" s="75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row>
    <row r="33" spans="1:250" s="5" customFormat="1" ht="18" customHeight="1">
      <c r="A33" s="118" t="s">
        <v>486</v>
      </c>
      <c r="B33" s="29"/>
      <c r="C33" s="29"/>
      <c r="D33" s="29"/>
      <c r="E33" s="122"/>
      <c r="F33" s="122"/>
      <c r="G33" s="122"/>
      <c r="H33" s="783"/>
      <c r="I33" s="29"/>
      <c r="J33" s="29"/>
      <c r="K33" s="29"/>
      <c r="L33" s="759"/>
      <c r="M33" s="759"/>
      <c r="N33" s="759"/>
      <c r="O33" s="759"/>
      <c r="P33" s="75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row>
    <row r="34" spans="1:250" s="5" customFormat="1" ht="18" customHeight="1">
      <c r="A34" s="123"/>
      <c r="B34" s="29" t="s">
        <v>487</v>
      </c>
      <c r="C34" s="29" t="s">
        <v>488</v>
      </c>
      <c r="D34" s="29"/>
      <c r="E34" s="22"/>
      <c r="F34" s="22"/>
      <c r="G34" s="22"/>
      <c r="H34" s="122">
        <f>INDEX('P-HCI'!$A$5:$HD$34,MATCH(MAX('P-HCI'!$A$5:$A$34),'P-HCI'!$A$5:$A$34,0),MATCH("Richmond",'P-HCI'!$A$5:$HD$5,0))</f>
        <v>264.60000000000002</v>
      </c>
      <c r="I34" s="29"/>
      <c r="J34" s="323" t="s">
        <v>464</v>
      </c>
      <c r="K34" s="29"/>
      <c r="L34" s="759"/>
      <c r="M34" s="759"/>
      <c r="N34" s="759"/>
      <c r="O34" s="759"/>
      <c r="P34" s="75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row>
    <row r="35" spans="1:250" s="5" customFormat="1" ht="33" customHeight="1">
      <c r="A35" s="29"/>
      <c r="B35" s="29" t="s">
        <v>489</v>
      </c>
      <c r="C35" s="915" t="s">
        <v>490</v>
      </c>
      <c r="D35" s="916"/>
      <c r="E35" s="121">
        <f>IF(E34="",0,($D$9/E34)*E31)</f>
        <v>0</v>
      </c>
      <c r="F35" s="121">
        <f t="shared" ref="F35:G35" si="1">IF(F34="",0,($D$9/F34)*F31)</f>
        <v>0</v>
      </c>
      <c r="G35" s="121">
        <f t="shared" si="1"/>
        <v>0</v>
      </c>
      <c r="H35" s="121">
        <f>IFERROR(_xlfn.XLOOKUP($D$6,'VBCCD Table'!$E$8:$E$66,'VBCCD Table'!$M$8:$M$66,,0),0)*D9/H34</f>
        <v>0</v>
      </c>
      <c r="I35" s="29"/>
      <c r="J35" s="29"/>
      <c r="K35" s="29"/>
      <c r="L35" s="759"/>
      <c r="M35" s="759"/>
      <c r="N35" s="759"/>
      <c r="O35" s="759"/>
      <c r="P35" s="75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row>
    <row r="36" spans="1:250" s="5" customFormat="1" ht="18" customHeight="1">
      <c r="A36" s="29"/>
      <c r="B36" s="29"/>
      <c r="C36" s="29"/>
      <c r="D36" s="29"/>
      <c r="E36" s="124"/>
      <c r="F36" s="124"/>
      <c r="G36" s="124"/>
      <c r="H36" s="124"/>
      <c r="I36" s="29"/>
      <c r="J36" s="29"/>
      <c r="K36" s="29"/>
      <c r="L36" s="759"/>
      <c r="M36" s="759"/>
      <c r="N36" s="759"/>
      <c r="O36" s="759"/>
      <c r="P36" s="75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row>
    <row r="37" spans="1:250" s="5" customFormat="1" ht="18" customHeight="1">
      <c r="A37" s="118" t="s">
        <v>491</v>
      </c>
      <c r="B37" s="29"/>
      <c r="C37" s="29"/>
      <c r="D37" s="29"/>
      <c r="E37" s="783"/>
      <c r="F37" s="783"/>
      <c r="G37" s="783"/>
      <c r="H37" s="783"/>
      <c r="I37" s="29"/>
      <c r="J37" s="29"/>
      <c r="K37" s="29"/>
      <c r="L37" s="759"/>
      <c r="M37" s="759"/>
      <c r="N37" s="759"/>
      <c r="O37" s="759"/>
      <c r="P37" s="75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row>
    <row r="38" spans="1:250" s="5" customFormat="1" ht="18" customHeight="1">
      <c r="A38" s="915" t="s">
        <v>492</v>
      </c>
      <c r="B38" s="915"/>
      <c r="C38" s="915"/>
      <c r="D38" s="915"/>
      <c r="E38" s="917"/>
      <c r="F38" s="917"/>
      <c r="G38" s="917"/>
      <c r="H38" s="917"/>
      <c r="I38" s="29"/>
      <c r="J38" s="29"/>
      <c r="K38" s="29"/>
      <c r="L38" s="759"/>
      <c r="M38" s="759"/>
      <c r="N38" s="759"/>
      <c r="O38" s="759"/>
      <c r="P38" s="75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row>
    <row r="39" spans="1:250" s="5" customFormat="1" ht="18" customHeight="1">
      <c r="A39" s="783"/>
      <c r="B39" s="783"/>
      <c r="C39" s="783"/>
      <c r="D39" s="783" t="s">
        <v>493</v>
      </c>
      <c r="E39" s="122" t="s">
        <v>494</v>
      </c>
      <c r="F39" s="122" t="s">
        <v>494</v>
      </c>
      <c r="G39" s="122" t="s">
        <v>494</v>
      </c>
      <c r="H39" s="122" t="s">
        <v>494</v>
      </c>
      <c r="I39" s="29"/>
      <c r="J39" s="29"/>
      <c r="K39" s="29"/>
      <c r="L39" s="759"/>
      <c r="M39" s="759"/>
      <c r="N39" s="759"/>
      <c r="O39" s="759"/>
      <c r="P39" s="75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row>
    <row r="40" spans="1:250" s="5" customFormat="1" ht="18" customHeight="1">
      <c r="A40" s="29"/>
      <c r="B40" s="29" t="s">
        <v>495</v>
      </c>
      <c r="C40" s="29" t="s">
        <v>496</v>
      </c>
      <c r="D40" s="120"/>
      <c r="E40" s="373"/>
      <c r="F40" s="373"/>
      <c r="G40" s="373"/>
      <c r="H40" s="373"/>
      <c r="I40" s="29"/>
      <c r="J40" s="29"/>
      <c r="K40" s="29"/>
      <c r="L40" s="759"/>
      <c r="M40" s="759"/>
      <c r="N40" s="759"/>
      <c r="O40" s="759"/>
      <c r="P40" s="75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row>
    <row r="41" spans="1:250" s="5" customFormat="1" ht="18" customHeight="1">
      <c r="A41" s="29"/>
      <c r="B41" s="29" t="s">
        <v>497</v>
      </c>
      <c r="C41" s="29" t="s">
        <v>498</v>
      </c>
      <c r="D41" s="120"/>
      <c r="E41" s="373"/>
      <c r="F41" s="373"/>
      <c r="G41" s="373"/>
      <c r="H41" s="373"/>
      <c r="I41" s="29"/>
      <c r="J41" s="29"/>
      <c r="K41" s="29"/>
      <c r="L41" s="759"/>
      <c r="M41" s="759"/>
      <c r="N41" s="759"/>
      <c r="O41" s="759"/>
      <c r="P41" s="75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row>
    <row r="42" spans="1:250" s="5" customFormat="1" ht="18" customHeight="1">
      <c r="A42" s="29"/>
      <c r="B42" s="29" t="s">
        <v>499</v>
      </c>
      <c r="C42" s="29" t="s">
        <v>500</v>
      </c>
      <c r="D42" s="120"/>
      <c r="E42" s="373"/>
      <c r="F42" s="373"/>
      <c r="G42" s="373"/>
      <c r="H42" s="373"/>
      <c r="I42" s="29"/>
      <c r="J42" s="29"/>
      <c r="K42" s="29"/>
      <c r="L42" s="759"/>
      <c r="M42" s="759"/>
      <c r="N42" s="759"/>
      <c r="O42" s="759"/>
      <c r="P42" s="75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row>
    <row r="43" spans="1:250" s="5" customFormat="1" ht="18" customHeight="1">
      <c r="A43" s="29"/>
      <c r="B43" s="29" t="s">
        <v>501</v>
      </c>
      <c r="C43" s="29" t="s">
        <v>502</v>
      </c>
      <c r="D43" s="120"/>
      <c r="E43" s="373"/>
      <c r="F43" s="373"/>
      <c r="G43" s="373"/>
      <c r="H43" s="373"/>
      <c r="I43" s="29"/>
      <c r="J43" s="29"/>
      <c r="K43" s="29"/>
      <c r="L43" s="759"/>
      <c r="M43" s="759"/>
      <c r="N43" s="759"/>
      <c r="O43" s="759"/>
      <c r="P43" s="75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row>
    <row r="44" spans="1:250" s="5" customFormat="1" ht="18" customHeight="1">
      <c r="A44" s="29"/>
      <c r="B44" s="29"/>
      <c r="C44" s="29"/>
      <c r="D44" s="29"/>
      <c r="E44" s="29"/>
      <c r="F44" s="29"/>
      <c r="G44" s="29"/>
      <c r="H44" s="29"/>
      <c r="I44" s="29"/>
      <c r="J44" s="29"/>
      <c r="K44" s="29"/>
      <c r="L44" s="759"/>
      <c r="M44" s="759"/>
      <c r="N44" s="759"/>
      <c r="O44" s="759"/>
      <c r="P44" s="75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row>
    <row r="45" spans="1:250" s="5" customFormat="1" ht="18" customHeight="1">
      <c r="A45" s="118" t="s">
        <v>503</v>
      </c>
      <c r="B45" s="29"/>
      <c r="C45" s="29"/>
      <c r="D45" s="29"/>
      <c r="E45" s="121">
        <f>IF(E35="","",E35+SUM(E40:E43))</f>
        <v>0</v>
      </c>
      <c r="F45" s="121">
        <f>IF(F35="","",F35+SUM(F40:F43))</f>
        <v>0</v>
      </c>
      <c r="G45" s="121">
        <f>IF(G35="","",G35+SUM(G40:G43))</f>
        <v>0</v>
      </c>
      <c r="H45" s="121">
        <f>IF(H35="","",H35+SUM(H40:H43))</f>
        <v>0</v>
      </c>
      <c r="I45" s="29"/>
      <c r="J45" s="29"/>
      <c r="K45" s="29"/>
      <c r="L45" s="759"/>
      <c r="M45" s="759"/>
      <c r="N45" s="759"/>
      <c r="O45" s="759"/>
      <c r="P45" s="75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row>
    <row r="46" spans="1:250" s="5" customFormat="1" ht="18" customHeight="1">
      <c r="A46" s="29"/>
      <c r="B46" s="29"/>
      <c r="C46" s="29"/>
      <c r="D46" s="783"/>
      <c r="E46" s="124"/>
      <c r="F46" s="124"/>
      <c r="G46" s="124"/>
      <c r="H46" s="124"/>
      <c r="I46" s="29"/>
      <c r="J46" s="29"/>
      <c r="K46" s="29"/>
      <c r="L46" s="759"/>
      <c r="M46" s="759"/>
      <c r="N46" s="759"/>
      <c r="O46" s="759"/>
      <c r="P46" s="75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row>
    <row r="47" spans="1:250" s="5" customFormat="1" ht="18" customHeight="1" thickBot="1">
      <c r="A47" s="118" t="s">
        <v>504</v>
      </c>
      <c r="B47" s="29"/>
      <c r="C47" s="29"/>
      <c r="D47" s="783"/>
      <c r="E47" s="783"/>
      <c r="F47" s="783"/>
      <c r="G47" s="783"/>
      <c r="H47" s="783"/>
      <c r="I47" s="29"/>
      <c r="J47" s="29"/>
      <c r="K47" s="29"/>
      <c r="L47" s="759"/>
      <c r="M47" s="759"/>
      <c r="N47" s="759"/>
      <c r="O47" s="759"/>
      <c r="P47" s="75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row>
    <row r="48" spans="1:250" s="5" customFormat="1" ht="18" customHeight="1" thickBot="1">
      <c r="A48" s="29"/>
      <c r="B48" s="29" t="s">
        <v>505</v>
      </c>
      <c r="C48" s="29" t="s">
        <v>506</v>
      </c>
      <c r="D48" s="29"/>
      <c r="E48" s="125">
        <f>IF(E45="","",E45)</f>
        <v>0</v>
      </c>
      <c r="F48" s="126">
        <f>IF(F45="","",F45)</f>
        <v>0</v>
      </c>
      <c r="G48" s="126">
        <f>IF(G45="","",G45)</f>
        <v>0</v>
      </c>
      <c r="H48" s="127">
        <f>IF(H45="","",H45)</f>
        <v>0</v>
      </c>
      <c r="I48" s="29"/>
      <c r="J48" s="29"/>
      <c r="K48" s="29"/>
      <c r="L48" s="759"/>
      <c r="M48" s="759"/>
      <c r="N48" s="759"/>
      <c r="O48" s="759"/>
      <c r="P48" s="75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row>
    <row r="49" spans="1:250" s="5" customFormat="1" ht="33" customHeight="1" thickBot="1">
      <c r="A49" s="29"/>
      <c r="B49" s="280" t="s">
        <v>507</v>
      </c>
      <c r="C49" s="919" t="s">
        <v>508</v>
      </c>
      <c r="D49" s="920"/>
      <c r="E49" s="319" t="e">
        <f t="array" ref="E49">(SUM(IF(E34:G34&lt;&gt;0,(E29:G29)*D9/(E34:G34)))+SUMPRODUCT(($E$40:$G$43)*($E$22:$G$22))+SUM(H35,(H40:H43))*H22*($H$13="Yes"))/(SUM(E22:G22)+SUMIF(H13,"Yes",H22))</f>
        <v>#DIV/0!</v>
      </c>
      <c r="F49" s="320"/>
      <c r="G49" s="320"/>
      <c r="H49" s="321"/>
      <c r="I49" s="29"/>
      <c r="J49" s="29"/>
      <c r="K49" s="29"/>
      <c r="L49" s="318"/>
      <c r="M49" s="759"/>
      <c r="N49" s="759"/>
      <c r="O49" s="759"/>
      <c r="P49" s="75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row>
    <row r="50" spans="1:250" s="5" customFormat="1" ht="18" customHeight="1">
      <c r="A50" s="29"/>
      <c r="B50" s="29"/>
      <c r="C50" s="29"/>
      <c r="D50" s="29"/>
      <c r="E50" s="783"/>
      <c r="F50" s="783"/>
      <c r="G50" s="783"/>
      <c r="H50" s="783"/>
      <c r="I50" s="29"/>
      <c r="J50" s="29"/>
      <c r="K50" s="29"/>
      <c r="L50" s="759"/>
      <c r="M50" s="759"/>
      <c r="N50" s="759"/>
      <c r="O50" s="759"/>
      <c r="P50" s="75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row>
    <row r="51" spans="1:250" ht="18" customHeight="1">
      <c r="G51" s="267"/>
      <c r="L51" s="759"/>
      <c r="M51" s="759"/>
      <c r="N51" s="759"/>
      <c r="O51" s="759"/>
      <c r="P51" s="759"/>
    </row>
    <row r="52" spans="1:250" ht="18" customHeight="1">
      <c r="E52" s="35"/>
      <c r="F52" s="296"/>
      <c r="G52" s="35"/>
      <c r="H52" s="35"/>
      <c r="L52" s="318"/>
      <c r="M52" s="759"/>
      <c r="N52" s="759"/>
      <c r="O52" s="759"/>
      <c r="P52" s="759"/>
    </row>
    <row r="53" spans="1:250" ht="18" customHeight="1">
      <c r="D53" s="279"/>
      <c r="E53" s="759"/>
      <c r="F53" s="759"/>
      <c r="G53" s="759"/>
      <c r="H53" s="759"/>
      <c r="L53" s="759"/>
      <c r="M53" s="759"/>
      <c r="N53" s="759"/>
      <c r="O53" s="759"/>
      <c r="P53" s="759"/>
    </row>
    <row r="54" spans="1:250" customFormat="1" ht="18" customHeight="1">
      <c r="A54" s="759"/>
      <c r="B54" s="759"/>
      <c r="C54" s="759"/>
      <c r="D54" s="759"/>
      <c r="E54" s="759"/>
      <c r="F54" s="317"/>
      <c r="G54" s="759"/>
      <c r="H54" s="759"/>
      <c r="I54" s="759"/>
      <c r="J54" s="759"/>
      <c r="K54" s="759"/>
      <c r="L54" s="310"/>
      <c r="M54" s="759"/>
      <c r="N54" s="759"/>
      <c r="O54" s="759"/>
      <c r="P54" s="759"/>
      <c r="Q54" s="759"/>
      <c r="R54" s="759"/>
      <c r="S54" s="759"/>
      <c r="T54" s="759"/>
      <c r="U54" s="759"/>
      <c r="V54" s="759"/>
      <c r="W54" s="759"/>
      <c r="X54" s="759"/>
      <c r="Y54" s="759"/>
      <c r="Z54" s="759"/>
      <c r="AA54" s="759"/>
      <c r="AB54" s="759"/>
      <c r="AC54" s="759"/>
      <c r="AD54" s="759"/>
      <c r="AE54" s="759"/>
      <c r="AF54" s="759"/>
      <c r="AG54" s="759"/>
      <c r="AH54" s="759"/>
      <c r="AI54" s="759"/>
      <c r="AJ54" s="759"/>
      <c r="AK54" s="759"/>
      <c r="AL54" s="759"/>
      <c r="AM54" s="759"/>
      <c r="AN54" s="759"/>
      <c r="AO54" s="759"/>
      <c r="AP54" s="759"/>
      <c r="AQ54" s="759"/>
      <c r="AR54" s="759"/>
      <c r="AS54" s="759"/>
      <c r="AT54" s="759"/>
      <c r="AU54" s="759"/>
      <c r="AV54" s="759"/>
      <c r="AW54" s="759"/>
      <c r="AX54" s="759"/>
      <c r="AY54" s="759"/>
      <c r="AZ54" s="759"/>
      <c r="BA54" s="759"/>
      <c r="BB54" s="759"/>
      <c r="BC54" s="759"/>
      <c r="BD54" s="759"/>
      <c r="BE54" s="759"/>
      <c r="BF54" s="759"/>
      <c r="BG54" s="759"/>
      <c r="BH54" s="759"/>
      <c r="BI54" s="759"/>
      <c r="BJ54" s="759"/>
      <c r="BK54" s="759"/>
      <c r="BL54" s="759"/>
      <c r="BM54" s="759"/>
      <c r="BN54" s="759"/>
      <c r="BO54" s="759"/>
      <c r="BP54" s="759"/>
      <c r="BQ54" s="759"/>
      <c r="BR54" s="759"/>
      <c r="BS54" s="759"/>
      <c r="BT54" s="759"/>
      <c r="BU54" s="759"/>
      <c r="BV54" s="759"/>
      <c r="BW54" s="759"/>
      <c r="BX54" s="759"/>
      <c r="BY54" s="759"/>
      <c r="BZ54" s="759"/>
      <c r="CA54" s="759"/>
      <c r="CB54" s="759"/>
      <c r="CC54" s="759"/>
      <c r="CD54" s="759"/>
      <c r="CE54" s="759"/>
      <c r="CF54" s="759"/>
      <c r="CG54" s="759"/>
      <c r="CH54" s="759"/>
      <c r="CI54" s="759"/>
      <c r="CJ54" s="759"/>
      <c r="CK54" s="759"/>
      <c r="CL54" s="759"/>
      <c r="CM54" s="759"/>
      <c r="CN54" s="759"/>
      <c r="CO54" s="759"/>
      <c r="CP54" s="759"/>
      <c r="CQ54" s="759"/>
      <c r="CR54" s="759"/>
      <c r="CS54" s="759"/>
      <c r="CT54" s="759"/>
      <c r="CU54" s="759"/>
      <c r="CV54" s="759"/>
      <c r="CW54" s="759"/>
      <c r="CX54" s="759"/>
      <c r="CY54" s="759"/>
      <c r="CZ54" s="759"/>
      <c r="DA54" s="759"/>
      <c r="DB54" s="759"/>
      <c r="DC54" s="759"/>
      <c r="DD54" s="759"/>
      <c r="DE54" s="759"/>
      <c r="DF54" s="759"/>
      <c r="DG54" s="759"/>
      <c r="DH54" s="759"/>
      <c r="DI54" s="759"/>
      <c r="DJ54" s="759"/>
      <c r="DK54" s="759"/>
      <c r="DL54" s="759"/>
      <c r="DM54" s="759"/>
      <c r="DN54" s="759"/>
      <c r="DO54" s="759"/>
      <c r="DP54" s="759"/>
      <c r="DQ54" s="759"/>
      <c r="DR54" s="759"/>
      <c r="DS54" s="759"/>
      <c r="DT54" s="759"/>
      <c r="DU54" s="759"/>
      <c r="DV54" s="759"/>
      <c r="DW54" s="759"/>
      <c r="DX54" s="759"/>
      <c r="DY54" s="759"/>
      <c r="DZ54" s="759"/>
      <c r="EA54" s="759"/>
      <c r="EB54" s="759"/>
      <c r="EC54" s="759"/>
      <c r="ED54" s="759"/>
      <c r="EE54" s="759"/>
      <c r="EF54" s="759"/>
      <c r="EG54" s="759"/>
      <c r="EH54" s="759"/>
      <c r="EI54" s="759"/>
      <c r="EJ54" s="759"/>
      <c r="EK54" s="759"/>
      <c r="EL54" s="759"/>
      <c r="EM54" s="759"/>
      <c r="EN54" s="759"/>
      <c r="EO54" s="759"/>
      <c r="EP54" s="759"/>
      <c r="EQ54" s="759"/>
      <c r="ER54" s="759"/>
      <c r="ES54" s="759"/>
      <c r="ET54" s="759"/>
      <c r="EU54" s="759"/>
      <c r="EV54" s="759"/>
      <c r="EW54" s="759"/>
      <c r="EX54" s="759"/>
      <c r="EY54" s="759"/>
      <c r="EZ54" s="759"/>
      <c r="FA54" s="759"/>
      <c r="FB54" s="759"/>
      <c r="FC54" s="759"/>
      <c r="FD54" s="759"/>
      <c r="FE54" s="759"/>
      <c r="FF54" s="759"/>
      <c r="FG54" s="759"/>
      <c r="FH54" s="759"/>
      <c r="FI54" s="759"/>
      <c r="FJ54" s="759"/>
      <c r="FK54" s="759"/>
      <c r="FL54" s="759"/>
      <c r="FM54" s="759"/>
      <c r="FN54" s="759"/>
      <c r="FO54" s="759"/>
      <c r="FP54" s="759"/>
      <c r="FQ54" s="759"/>
      <c r="FR54" s="759"/>
      <c r="FS54" s="759"/>
      <c r="FT54" s="759"/>
      <c r="FU54" s="759"/>
      <c r="FV54" s="759"/>
      <c r="FW54" s="759"/>
      <c r="FX54" s="759"/>
      <c r="FY54" s="759"/>
      <c r="FZ54" s="759"/>
      <c r="GA54" s="759"/>
      <c r="GB54" s="759"/>
      <c r="GC54" s="759"/>
      <c r="GD54" s="759"/>
      <c r="GE54" s="759"/>
      <c r="GF54" s="759"/>
      <c r="GG54" s="759"/>
      <c r="GH54" s="759"/>
      <c r="GI54" s="759"/>
      <c r="GJ54" s="759"/>
      <c r="GK54" s="759"/>
      <c r="GL54" s="759"/>
      <c r="GM54" s="759"/>
      <c r="GN54" s="759"/>
      <c r="GO54" s="759"/>
      <c r="GP54" s="759"/>
      <c r="GQ54" s="759"/>
      <c r="GR54" s="759"/>
      <c r="GS54" s="759"/>
      <c r="GT54" s="759"/>
      <c r="GU54" s="759"/>
      <c r="GV54" s="759"/>
      <c r="GW54" s="759"/>
      <c r="GX54" s="759"/>
      <c r="GY54" s="759"/>
      <c r="GZ54" s="759"/>
      <c r="HA54" s="759"/>
      <c r="HB54" s="759"/>
      <c r="HC54" s="759"/>
      <c r="HD54" s="759"/>
      <c r="HE54" s="759"/>
      <c r="HF54" s="759"/>
      <c r="HG54" s="759"/>
      <c r="HH54" s="759"/>
      <c r="HI54" s="759"/>
      <c r="HJ54" s="759"/>
      <c r="HK54" s="759"/>
      <c r="HL54" s="759"/>
      <c r="HM54" s="759"/>
      <c r="HN54" s="759"/>
      <c r="HO54" s="759"/>
      <c r="HP54" s="759"/>
      <c r="HQ54" s="759"/>
      <c r="HR54" s="759"/>
      <c r="HS54" s="759"/>
      <c r="HT54" s="759"/>
      <c r="HU54" s="759"/>
      <c r="HV54" s="759"/>
      <c r="HW54" s="759"/>
      <c r="HX54" s="759"/>
      <c r="HY54" s="759"/>
      <c r="HZ54" s="759"/>
      <c r="IA54" s="759"/>
      <c r="IB54" s="759"/>
      <c r="IC54" s="759"/>
      <c r="ID54" s="759"/>
      <c r="IE54" s="759"/>
      <c r="IF54" s="759"/>
      <c r="IG54" s="759"/>
      <c r="IH54" s="759"/>
      <c r="II54" s="759"/>
      <c r="IJ54" s="759"/>
      <c r="IK54" s="759"/>
      <c r="IL54" s="759"/>
      <c r="IM54" s="759"/>
      <c r="IN54" s="759"/>
      <c r="IO54" s="759"/>
      <c r="IP54" s="759"/>
    </row>
    <row r="55" spans="1:250">
      <c r="A55" s="29"/>
      <c r="D55" s="129"/>
      <c r="E55" s="759"/>
      <c r="F55" s="759"/>
      <c r="G55" s="759"/>
      <c r="H55" s="759"/>
      <c r="L55" s="759"/>
      <c r="M55" s="759"/>
      <c r="N55" s="759"/>
      <c r="O55" s="759"/>
      <c r="P55" s="759"/>
    </row>
    <row r="56" spans="1:250">
      <c r="E56" s="759"/>
      <c r="F56" s="759"/>
      <c r="G56" s="759"/>
      <c r="H56" s="759"/>
      <c r="L56" s="759"/>
      <c r="M56" s="759"/>
      <c r="N56" s="759"/>
      <c r="O56" s="759"/>
      <c r="P56" s="759"/>
    </row>
    <row r="57" spans="1:250">
      <c r="E57" s="279"/>
      <c r="F57" s="279"/>
      <c r="G57" s="279"/>
      <c r="H57" s="279"/>
      <c r="L57" s="318"/>
      <c r="M57" s="759"/>
      <c r="N57" s="759"/>
      <c r="O57" s="759"/>
      <c r="P57" s="759"/>
    </row>
    <row r="58" spans="1:250">
      <c r="E58" s="279"/>
      <c r="F58" s="279"/>
      <c r="G58" s="279"/>
      <c r="H58" s="279"/>
      <c r="L58" s="759"/>
      <c r="M58" s="759"/>
      <c r="N58" s="759"/>
      <c r="O58" s="759"/>
      <c r="P58" s="759"/>
    </row>
    <row r="61" spans="1:250">
      <c r="D61" s="279"/>
      <c r="E61" s="279"/>
      <c r="F61" s="279"/>
      <c r="G61" s="279"/>
      <c r="H61" s="279"/>
      <c r="J61" s="279"/>
      <c r="L61" s="759"/>
      <c r="M61" s="759"/>
      <c r="N61" s="759"/>
      <c r="O61" s="759"/>
      <c r="P61" s="759"/>
    </row>
    <row r="63" spans="1:250">
      <c r="E63" s="279"/>
      <c r="F63" s="279"/>
      <c r="G63" s="279"/>
      <c r="H63" s="279"/>
      <c r="L63" s="759"/>
      <c r="M63" s="759"/>
      <c r="N63" s="759"/>
      <c r="O63" s="759"/>
      <c r="P63" s="759"/>
    </row>
  </sheetData>
  <sheetProtection algorithmName="SHA-512" hashValue="jtGLx0RULz2ssoOPlIZo70NFPAy3h5+4i68ZlhwMVMwTgUYyGRAiYoXFthZaBbHu8NqjYAm5v+MSwrrC0GCwNA==" saltValue="WAzKUrz350vN80xRTKeg5Q==" spinCount="100000" sheet="1" autoFilter="0"/>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72" priority="13" operator="containsText" text="Selected">
      <formula>NOT(ISERROR(SEARCH("Selected",C10)))</formula>
    </cfRule>
    <cfRule type="containsText" dxfId="171" priority="14" operator="containsText" text="No">
      <formula>NOT(ISERROR(SEARCH("No",C10)))</formula>
    </cfRule>
  </conditionalFormatting>
  <conditionalFormatting sqref="E14">
    <cfRule type="expression" dxfId="170" priority="7">
      <formula>$D$4&lt;&gt;""</formula>
    </cfRule>
    <cfRule type="containsText" dxfId="169" priority="11" operator="containsText" text="No">
      <formula>NOT(ISERROR(SEARCH("No",E14)))</formula>
    </cfRule>
    <cfRule type="containsText" dxfId="168" priority="12" operator="containsText" text="Yes">
      <formula>NOT(ISERROR(SEARCH("Yes",E14)))</formula>
    </cfRule>
  </conditionalFormatting>
  <conditionalFormatting sqref="E15:H49">
    <cfRule type="expression" dxfId="167" priority="4">
      <formula>$D$4=""</formula>
    </cfRule>
  </conditionalFormatting>
  <conditionalFormatting sqref="F13:H13">
    <cfRule type="containsText" dxfId="166" priority="1" operator="containsText" text="No">
      <formula>NOT(ISERROR(SEARCH("No",F13)))</formula>
    </cfRule>
    <cfRule type="containsText" dxfId="165" priority="2" operator="containsText" text="Yes">
      <formula>NOT(ISERROR(SEARCH("Yes",F13)))</formula>
    </cfRule>
  </conditionalFormatting>
  <conditionalFormatting sqref="H22">
    <cfRule type="expression" dxfId="164" priority="10">
      <formula>$H$13="No"</formula>
    </cfRule>
  </conditionalFormatting>
  <dataValidations count="3">
    <dataValidation type="list" allowBlank="1" showInputMessage="1" showErrorMessage="1" promptTitle="NO BLANKS" prompt="Select from drop down list." sqref="D4" xr:uid="{4538AB6A-0D2F-4B7B-9EFE-FF9BA2B475B5}">
      <formula1>CM_ProjectType</formula1>
    </dataValidation>
    <dataValidation type="list" allowBlank="1" showInputMessage="1" showErrorMessage="1" sqref="H13" xr:uid="{5FE4FB5D-1D1E-48E3-B2B8-6958E7BD9B46}">
      <formula1>$AA$1:$AA$3</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516D39EE-A468-4952-917C-4E744ABD5875}">
      <formula1>dd_BldgTypes2</formula1>
    </dataValidation>
  </dataValidations>
  <hyperlinks>
    <hyperlink ref="A9:B9" location="HCI!GF6" display="HCI!GF6" xr:uid="{6CF18C2B-E33D-4126-874F-C650FB821209}"/>
    <hyperlink ref="A1" location="Index!A1" display="&lt; Return to Index" xr:uid="{7C6C1DEC-DA53-41A2-B7F5-7FF9AE62138D}"/>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6D962C76-8545-406B-B2F4-C6BABCBD5224}">
          <x14:formula1>
            <xm:f>'VBCCD BldgTypes'!$E$3:$Y$3</xm:f>
          </x14:formula1>
          <xm:sqref>D5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7" tint="-0.249977111117893"/>
    <pageSetUpPr fitToPage="1"/>
  </sheetPr>
  <dimension ref="A1:H81"/>
  <sheetViews>
    <sheetView showGridLines="0" workbookViewId="0">
      <selection sqref="A1:B1"/>
    </sheetView>
  </sheetViews>
  <sheetFormatPr defaultColWidth="9.140625" defaultRowHeight="12.75"/>
  <cols>
    <col min="1" max="1" width="7.5703125" style="99" customWidth="1"/>
    <col min="2" max="2" width="68.140625" style="99" customWidth="1"/>
    <col min="3" max="4" width="15.7109375" style="97" customWidth="1"/>
    <col min="5" max="5" width="15.7109375" style="98" customWidth="1"/>
    <col min="6" max="6" width="19.85546875" style="98" customWidth="1"/>
    <col min="7" max="7" width="28.28515625" style="99" customWidth="1"/>
    <col min="8" max="16384" width="9.140625" style="99"/>
  </cols>
  <sheetData>
    <row r="1" spans="1:8" ht="21.95" customHeight="1">
      <c r="A1" s="862" t="s">
        <v>48</v>
      </c>
      <c r="B1" s="872"/>
    </row>
    <row r="2" spans="1:8" s="100" customFormat="1" ht="21.95" customHeight="1">
      <c r="A2" s="428"/>
      <c r="B2" s="429"/>
      <c r="C2" s="429"/>
      <c r="D2" s="429"/>
      <c r="E2" s="430"/>
      <c r="H2" s="431"/>
    </row>
    <row r="3" spans="1:8" s="100" customFormat="1" ht="21.95" customHeight="1">
      <c r="A3" s="951"/>
      <c r="B3" s="952"/>
      <c r="E3" s="103"/>
    </row>
    <row r="4" spans="1:8" s="100" customFormat="1" ht="21.95" customHeight="1">
      <c r="A4" s="785"/>
      <c r="B4" s="432" t="s">
        <v>538</v>
      </c>
      <c r="E4" s="103"/>
    </row>
    <row r="5" spans="1:8" ht="21.95" customHeight="1">
      <c r="B5" s="1185"/>
      <c r="C5" s="1186"/>
      <c r="D5" s="1186"/>
      <c r="E5" s="1205" t="s">
        <v>539</v>
      </c>
      <c r="F5" s="1206">
        <f>(1+F6)*F7</f>
        <v>0</v>
      </c>
    </row>
    <row r="6" spans="1:8" ht="21.95" customHeight="1">
      <c r="B6" s="1186"/>
      <c r="C6" s="1186"/>
      <c r="D6" s="1186"/>
      <c r="E6" s="1207" t="s">
        <v>540</v>
      </c>
      <c r="F6" s="1191"/>
    </row>
    <row r="7" spans="1:8" ht="21.95" customHeight="1">
      <c r="B7" s="1186"/>
      <c r="C7" s="1186"/>
      <c r="D7" s="1186"/>
      <c r="E7" s="1207" t="s">
        <v>383</v>
      </c>
      <c r="F7" s="1208">
        <f>SUM(F9:F225)</f>
        <v>0</v>
      </c>
    </row>
    <row r="8" spans="1:8" s="433" customFormat="1" ht="21.95" customHeight="1">
      <c r="B8" s="1209" t="s">
        <v>541</v>
      </c>
      <c r="C8" s="1210" t="s">
        <v>369</v>
      </c>
      <c r="D8" s="1210" t="s">
        <v>542</v>
      </c>
      <c r="E8" s="1211" t="s">
        <v>372</v>
      </c>
      <c r="F8" s="1211" t="s">
        <v>376</v>
      </c>
    </row>
    <row r="9" spans="1:8" ht="21.6" customHeight="1">
      <c r="B9" s="1212"/>
      <c r="C9" s="1213"/>
      <c r="D9" s="1213"/>
      <c r="E9" s="1214"/>
      <c r="F9" s="1208" t="str">
        <f>IF(C9="","",E9*C9)</f>
        <v/>
      </c>
    </row>
    <row r="10" spans="1:8" ht="21.95" customHeight="1">
      <c r="B10" s="1215"/>
      <c r="C10" s="1213"/>
      <c r="D10" s="1213"/>
      <c r="E10" s="1214"/>
      <c r="F10" s="1208" t="str">
        <f>IF(C10="","",E10*C10)</f>
        <v/>
      </c>
    </row>
    <row r="11" spans="1:8" ht="21.95" customHeight="1">
      <c r="B11" s="1212"/>
      <c r="C11" s="1213"/>
      <c r="D11" s="1213"/>
      <c r="E11" s="1214"/>
      <c r="F11" s="1208" t="str">
        <f t="shared" ref="F11:F74" si="0">IF(C11="","",E11*C11)</f>
        <v/>
      </c>
    </row>
    <row r="12" spans="1:8" ht="21.95" customHeight="1">
      <c r="B12" s="1212"/>
      <c r="C12" s="1213"/>
      <c r="D12" s="1213"/>
      <c r="E12" s="1214"/>
      <c r="F12" s="1208" t="str">
        <f t="shared" si="0"/>
        <v/>
      </c>
    </row>
    <row r="13" spans="1:8" ht="21.95" customHeight="1">
      <c r="B13" s="1212"/>
      <c r="C13" s="1213"/>
      <c r="D13" s="1213"/>
      <c r="E13" s="1214"/>
      <c r="F13" s="1208" t="str">
        <f>IF(C13="","",E13*C13)</f>
        <v/>
      </c>
    </row>
    <row r="14" spans="1:8" ht="21.95" customHeight="1">
      <c r="B14" s="1215"/>
      <c r="C14" s="1213"/>
      <c r="D14" s="1213"/>
      <c r="E14" s="1214"/>
      <c r="F14" s="1208" t="str">
        <f t="shared" si="0"/>
        <v/>
      </c>
    </row>
    <row r="15" spans="1:8" ht="21.95" customHeight="1">
      <c r="B15" s="1212"/>
      <c r="C15" s="1213"/>
      <c r="D15" s="1213"/>
      <c r="E15" s="1214"/>
      <c r="F15" s="1208" t="str">
        <f t="shared" si="0"/>
        <v/>
      </c>
    </row>
    <row r="16" spans="1:8" ht="21.95" customHeight="1">
      <c r="B16" s="1212"/>
      <c r="C16" s="1213"/>
      <c r="D16" s="1213"/>
      <c r="E16" s="1214"/>
      <c r="F16" s="1208" t="str">
        <f t="shared" si="0"/>
        <v/>
      </c>
    </row>
    <row r="17" spans="2:6" ht="21.95" customHeight="1">
      <c r="B17" s="1212"/>
      <c r="C17" s="1213"/>
      <c r="D17" s="1213"/>
      <c r="E17" s="1214"/>
      <c r="F17" s="1208" t="str">
        <f t="shared" si="0"/>
        <v/>
      </c>
    </row>
    <row r="18" spans="2:6" ht="21.95" customHeight="1">
      <c r="B18" s="1212"/>
      <c r="C18" s="1213"/>
      <c r="D18" s="1213"/>
      <c r="E18" s="1214"/>
      <c r="F18" s="1208" t="str">
        <f t="shared" si="0"/>
        <v/>
      </c>
    </row>
    <row r="19" spans="2:6" ht="21.95" customHeight="1">
      <c r="B19" s="1212"/>
      <c r="C19" s="1213"/>
      <c r="D19" s="1213"/>
      <c r="E19" s="1214"/>
      <c r="F19" s="1208" t="str">
        <f t="shared" si="0"/>
        <v/>
      </c>
    </row>
    <row r="20" spans="2:6" ht="21.95" customHeight="1">
      <c r="B20" s="1212"/>
      <c r="C20" s="1213"/>
      <c r="D20" s="1213"/>
      <c r="E20" s="1214"/>
      <c r="F20" s="1208" t="str">
        <f t="shared" si="0"/>
        <v/>
      </c>
    </row>
    <row r="21" spans="2:6" ht="21.95" customHeight="1">
      <c r="B21" s="1212"/>
      <c r="C21" s="1213"/>
      <c r="D21" s="1213"/>
      <c r="E21" s="1214"/>
      <c r="F21" s="1208" t="str">
        <f t="shared" si="0"/>
        <v/>
      </c>
    </row>
    <row r="22" spans="2:6" ht="21.95" customHeight="1">
      <c r="B22" s="1215"/>
      <c r="C22" s="1213"/>
      <c r="D22" s="1213"/>
      <c r="E22" s="1214"/>
      <c r="F22" s="1208" t="str">
        <f t="shared" si="0"/>
        <v/>
      </c>
    </row>
    <row r="23" spans="2:6" ht="21.95" customHeight="1">
      <c r="B23" s="1212"/>
      <c r="C23" s="1213"/>
      <c r="D23" s="1213"/>
      <c r="E23" s="1214"/>
      <c r="F23" s="1208" t="str">
        <f t="shared" si="0"/>
        <v/>
      </c>
    </row>
    <row r="24" spans="2:6" ht="21.95" customHeight="1">
      <c r="B24" s="1212"/>
      <c r="C24" s="1213"/>
      <c r="D24" s="1213"/>
      <c r="E24" s="1214"/>
      <c r="F24" s="1208" t="str">
        <f t="shared" si="0"/>
        <v/>
      </c>
    </row>
    <row r="25" spans="2:6" ht="21.95" customHeight="1">
      <c r="B25" s="1212"/>
      <c r="C25" s="1213"/>
      <c r="D25" s="1213"/>
      <c r="E25" s="1214"/>
      <c r="F25" s="1208" t="str">
        <f t="shared" si="0"/>
        <v/>
      </c>
    </row>
    <row r="26" spans="2:6" ht="21.95" customHeight="1">
      <c r="B26" s="1212"/>
      <c r="C26" s="1213"/>
      <c r="D26" s="1213"/>
      <c r="E26" s="1214"/>
      <c r="F26" s="1208" t="str">
        <f t="shared" si="0"/>
        <v/>
      </c>
    </row>
    <row r="27" spans="2:6" ht="21.95" customHeight="1">
      <c r="B27" s="1212"/>
      <c r="C27" s="1213"/>
      <c r="D27" s="1213"/>
      <c r="E27" s="1214"/>
      <c r="F27" s="1208" t="str">
        <f t="shared" si="0"/>
        <v/>
      </c>
    </row>
    <row r="28" spans="2:6" ht="21.95" customHeight="1">
      <c r="B28" s="1212"/>
      <c r="C28" s="1213"/>
      <c r="D28" s="1213"/>
      <c r="E28" s="1214"/>
      <c r="F28" s="1208" t="str">
        <f>IF(C28="","",E28*C28)</f>
        <v/>
      </c>
    </row>
    <row r="29" spans="2:6" ht="21.95" customHeight="1">
      <c r="B29" s="1212"/>
      <c r="C29" s="1213"/>
      <c r="D29" s="1213"/>
      <c r="E29" s="1214"/>
      <c r="F29" s="1208" t="str">
        <f t="shared" si="0"/>
        <v/>
      </c>
    </row>
    <row r="30" spans="2:6" ht="21.95" customHeight="1">
      <c r="B30" s="1212"/>
      <c r="C30" s="1213"/>
      <c r="D30" s="1213"/>
      <c r="E30" s="1214"/>
      <c r="F30" s="1208" t="str">
        <f t="shared" si="0"/>
        <v/>
      </c>
    </row>
    <row r="31" spans="2:6" ht="21.95" customHeight="1">
      <c r="B31" s="1212"/>
      <c r="C31" s="1213"/>
      <c r="D31" s="1213"/>
      <c r="E31" s="1214"/>
      <c r="F31" s="1208" t="str">
        <f t="shared" si="0"/>
        <v/>
      </c>
    </row>
    <row r="32" spans="2:6" ht="21.95" customHeight="1">
      <c r="B32" s="1212"/>
      <c r="C32" s="1213"/>
      <c r="D32" s="1213"/>
      <c r="E32" s="1214"/>
      <c r="F32" s="1208" t="str">
        <f t="shared" si="0"/>
        <v/>
      </c>
    </row>
    <row r="33" spans="2:6" ht="21.95" customHeight="1">
      <c r="B33" s="1212"/>
      <c r="C33" s="1213"/>
      <c r="D33" s="1213"/>
      <c r="E33" s="1214"/>
      <c r="F33" s="1208" t="str">
        <f t="shared" si="0"/>
        <v/>
      </c>
    </row>
    <row r="34" spans="2:6" ht="21.95" customHeight="1">
      <c r="B34" s="1212"/>
      <c r="C34" s="1213"/>
      <c r="D34" s="1213"/>
      <c r="E34" s="1214"/>
      <c r="F34" s="1208" t="str">
        <f t="shared" si="0"/>
        <v/>
      </c>
    </row>
    <row r="35" spans="2:6" ht="21.95" customHeight="1">
      <c r="B35" s="1212"/>
      <c r="C35" s="1213"/>
      <c r="D35" s="1213"/>
      <c r="E35" s="1214"/>
      <c r="F35" s="1208" t="str">
        <f t="shared" si="0"/>
        <v/>
      </c>
    </row>
    <row r="36" spans="2:6" ht="21.95" customHeight="1">
      <c r="B36" s="1212"/>
      <c r="C36" s="1213"/>
      <c r="D36" s="1213"/>
      <c r="E36" s="1214"/>
      <c r="F36" s="1208" t="str">
        <f t="shared" si="0"/>
        <v/>
      </c>
    </row>
    <row r="37" spans="2:6" ht="21.95" customHeight="1">
      <c r="B37" s="1212"/>
      <c r="C37" s="1213"/>
      <c r="D37" s="1213"/>
      <c r="E37" s="1214"/>
      <c r="F37" s="1208" t="str">
        <f t="shared" si="0"/>
        <v/>
      </c>
    </row>
    <row r="38" spans="2:6" ht="21.95" customHeight="1">
      <c r="B38" s="1212"/>
      <c r="C38" s="1213"/>
      <c r="D38" s="1213"/>
      <c r="E38" s="1214"/>
      <c r="F38" s="1208" t="str">
        <f t="shared" si="0"/>
        <v/>
      </c>
    </row>
    <row r="39" spans="2:6" ht="21.95" customHeight="1">
      <c r="B39" s="1212"/>
      <c r="C39" s="1213"/>
      <c r="D39" s="1213"/>
      <c r="E39" s="1214"/>
      <c r="F39" s="1208" t="str">
        <f t="shared" si="0"/>
        <v/>
      </c>
    </row>
    <row r="40" spans="2:6" ht="21.95" customHeight="1">
      <c r="B40" s="1212"/>
      <c r="C40" s="1213"/>
      <c r="D40" s="1213"/>
      <c r="E40" s="1214"/>
      <c r="F40" s="1208" t="str">
        <f t="shared" si="0"/>
        <v/>
      </c>
    </row>
    <row r="41" spans="2:6" ht="21.95" customHeight="1">
      <c r="B41" s="1212"/>
      <c r="C41" s="1213"/>
      <c r="D41" s="1213"/>
      <c r="E41" s="1214"/>
      <c r="F41" s="1208" t="str">
        <f t="shared" si="0"/>
        <v/>
      </c>
    </row>
    <row r="42" spans="2:6" ht="21.95" customHeight="1">
      <c r="B42" s="1212"/>
      <c r="C42" s="1213"/>
      <c r="D42" s="1213"/>
      <c r="E42" s="1214"/>
      <c r="F42" s="1208" t="str">
        <f t="shared" si="0"/>
        <v/>
      </c>
    </row>
    <row r="43" spans="2:6" ht="21.95" customHeight="1">
      <c r="B43" s="1212"/>
      <c r="C43" s="1213"/>
      <c r="D43" s="1213"/>
      <c r="E43" s="1214"/>
      <c r="F43" s="1208" t="str">
        <f t="shared" si="0"/>
        <v/>
      </c>
    </row>
    <row r="44" spans="2:6" ht="21.95" customHeight="1">
      <c r="B44" s="1212"/>
      <c r="C44" s="1213"/>
      <c r="D44" s="1213"/>
      <c r="E44" s="1214"/>
      <c r="F44" s="1208" t="str">
        <f t="shared" si="0"/>
        <v/>
      </c>
    </row>
    <row r="45" spans="2:6" ht="21.95" customHeight="1">
      <c r="B45" s="1212"/>
      <c r="C45" s="1213"/>
      <c r="D45" s="1213"/>
      <c r="E45" s="1214"/>
      <c r="F45" s="1208" t="str">
        <f t="shared" si="0"/>
        <v/>
      </c>
    </row>
    <row r="46" spans="2:6" ht="21.95" customHeight="1">
      <c r="B46" s="1212"/>
      <c r="C46" s="1213"/>
      <c r="D46" s="1213"/>
      <c r="E46" s="1214"/>
      <c r="F46" s="1208" t="str">
        <f t="shared" si="0"/>
        <v/>
      </c>
    </row>
    <row r="47" spans="2:6" ht="21.95" customHeight="1">
      <c r="B47" s="1212"/>
      <c r="C47" s="1213"/>
      <c r="D47" s="1213"/>
      <c r="E47" s="1214"/>
      <c r="F47" s="1208" t="str">
        <f t="shared" si="0"/>
        <v/>
      </c>
    </row>
    <row r="48" spans="2:6" ht="21.95" customHeight="1">
      <c r="B48" s="1212"/>
      <c r="C48" s="1213"/>
      <c r="D48" s="1213"/>
      <c r="E48" s="1214"/>
      <c r="F48" s="1208" t="str">
        <f t="shared" si="0"/>
        <v/>
      </c>
    </row>
    <row r="49" spans="2:6" ht="21.95" customHeight="1">
      <c r="B49" s="1212"/>
      <c r="C49" s="1213"/>
      <c r="D49" s="1213"/>
      <c r="E49" s="1214"/>
      <c r="F49" s="1208" t="str">
        <f t="shared" si="0"/>
        <v/>
      </c>
    </row>
    <row r="50" spans="2:6" ht="21.95" customHeight="1">
      <c r="B50" s="1212"/>
      <c r="C50" s="1213"/>
      <c r="D50" s="1213"/>
      <c r="E50" s="1214"/>
      <c r="F50" s="1208" t="str">
        <f t="shared" si="0"/>
        <v/>
      </c>
    </row>
    <row r="51" spans="2:6" ht="21.95" customHeight="1">
      <c r="B51" s="1212"/>
      <c r="C51" s="1213"/>
      <c r="D51" s="1213"/>
      <c r="E51" s="1214"/>
      <c r="F51" s="1208" t="str">
        <f t="shared" si="0"/>
        <v/>
      </c>
    </row>
    <row r="52" spans="2:6" ht="21.95" customHeight="1">
      <c r="B52" s="1212"/>
      <c r="C52" s="1213"/>
      <c r="D52" s="1213"/>
      <c r="E52" s="1214"/>
      <c r="F52" s="1208" t="str">
        <f t="shared" si="0"/>
        <v/>
      </c>
    </row>
    <row r="53" spans="2:6" ht="21.95" customHeight="1">
      <c r="B53" s="1212"/>
      <c r="C53" s="1213"/>
      <c r="D53" s="1213"/>
      <c r="E53" s="1214"/>
      <c r="F53" s="1208" t="str">
        <f t="shared" si="0"/>
        <v/>
      </c>
    </row>
    <row r="54" spans="2:6" ht="21.95" customHeight="1">
      <c r="B54" s="1212"/>
      <c r="C54" s="1213"/>
      <c r="D54" s="1213"/>
      <c r="E54" s="1214"/>
      <c r="F54" s="1208" t="str">
        <f t="shared" si="0"/>
        <v/>
      </c>
    </row>
    <row r="55" spans="2:6" ht="21.95" customHeight="1">
      <c r="B55" s="1212"/>
      <c r="C55" s="1213"/>
      <c r="D55" s="1213"/>
      <c r="E55" s="1214"/>
      <c r="F55" s="1208" t="str">
        <f t="shared" si="0"/>
        <v/>
      </c>
    </row>
    <row r="56" spans="2:6" ht="21.95" customHeight="1">
      <c r="B56" s="1212"/>
      <c r="C56" s="1213"/>
      <c r="D56" s="1213"/>
      <c r="E56" s="1214"/>
      <c r="F56" s="1208" t="str">
        <f t="shared" si="0"/>
        <v/>
      </c>
    </row>
    <row r="57" spans="2:6" ht="21.95" customHeight="1">
      <c r="B57" s="1212"/>
      <c r="C57" s="1213"/>
      <c r="D57" s="1213"/>
      <c r="E57" s="1214"/>
      <c r="F57" s="1208" t="str">
        <f t="shared" si="0"/>
        <v/>
      </c>
    </row>
    <row r="58" spans="2:6" ht="21.95" customHeight="1">
      <c r="B58" s="1212"/>
      <c r="C58" s="1213"/>
      <c r="D58" s="1213"/>
      <c r="E58" s="1214"/>
      <c r="F58" s="1208" t="str">
        <f t="shared" si="0"/>
        <v/>
      </c>
    </row>
    <row r="59" spans="2:6" ht="21.95" customHeight="1">
      <c r="B59" s="1212"/>
      <c r="C59" s="1213"/>
      <c r="D59" s="1213"/>
      <c r="E59" s="1214"/>
      <c r="F59" s="1208" t="str">
        <f t="shared" si="0"/>
        <v/>
      </c>
    </row>
    <row r="60" spans="2:6" ht="21.95" customHeight="1">
      <c r="B60" s="1212"/>
      <c r="C60" s="1213"/>
      <c r="D60" s="1213"/>
      <c r="E60" s="1214"/>
      <c r="F60" s="1208" t="str">
        <f t="shared" si="0"/>
        <v/>
      </c>
    </row>
    <row r="61" spans="2:6" ht="21.95" customHeight="1">
      <c r="B61" s="1212"/>
      <c r="C61" s="1213"/>
      <c r="D61" s="1213"/>
      <c r="E61" s="1214"/>
      <c r="F61" s="1208" t="str">
        <f t="shared" si="0"/>
        <v/>
      </c>
    </row>
    <row r="62" spans="2:6" ht="21.95" customHeight="1">
      <c r="B62" s="1212"/>
      <c r="C62" s="1213"/>
      <c r="D62" s="1213"/>
      <c r="E62" s="1214"/>
      <c r="F62" s="1208" t="str">
        <f t="shared" si="0"/>
        <v/>
      </c>
    </row>
    <row r="63" spans="2:6" ht="21.95" customHeight="1">
      <c r="B63" s="1212"/>
      <c r="C63" s="1213"/>
      <c r="D63" s="1213"/>
      <c r="E63" s="1214"/>
      <c r="F63" s="1208" t="str">
        <f t="shared" si="0"/>
        <v/>
      </c>
    </row>
    <row r="64" spans="2:6" ht="21.95" customHeight="1">
      <c r="B64" s="1212"/>
      <c r="C64" s="1213"/>
      <c r="D64" s="1213"/>
      <c r="E64" s="1214"/>
      <c r="F64" s="1208" t="str">
        <f t="shared" si="0"/>
        <v/>
      </c>
    </row>
    <row r="65" spans="2:6" ht="21.95" customHeight="1">
      <c r="B65" s="1212"/>
      <c r="C65" s="1213"/>
      <c r="D65" s="1213"/>
      <c r="E65" s="1214"/>
      <c r="F65" s="1208" t="str">
        <f t="shared" si="0"/>
        <v/>
      </c>
    </row>
    <row r="66" spans="2:6" ht="21.95" customHeight="1">
      <c r="B66" s="1212"/>
      <c r="C66" s="1213"/>
      <c r="D66" s="1213"/>
      <c r="E66" s="1214"/>
      <c r="F66" s="1208" t="str">
        <f t="shared" si="0"/>
        <v/>
      </c>
    </row>
    <row r="67" spans="2:6" ht="21.95" customHeight="1">
      <c r="B67" s="1212"/>
      <c r="C67" s="1213"/>
      <c r="D67" s="1213"/>
      <c r="E67" s="1214"/>
      <c r="F67" s="1208" t="str">
        <f t="shared" si="0"/>
        <v/>
      </c>
    </row>
    <row r="68" spans="2:6" ht="21.95" customHeight="1">
      <c r="B68" s="1212"/>
      <c r="C68" s="1213"/>
      <c r="D68" s="1213"/>
      <c r="E68" s="1214"/>
      <c r="F68" s="1208" t="str">
        <f t="shared" si="0"/>
        <v/>
      </c>
    </row>
    <row r="69" spans="2:6" ht="21.95" customHeight="1">
      <c r="B69" s="1212"/>
      <c r="C69" s="1213"/>
      <c r="D69" s="1213"/>
      <c r="E69" s="1214"/>
      <c r="F69" s="1208" t="str">
        <f t="shared" si="0"/>
        <v/>
      </c>
    </row>
    <row r="70" spans="2:6" ht="21.95" customHeight="1">
      <c r="B70" s="1212"/>
      <c r="C70" s="1213"/>
      <c r="D70" s="1213"/>
      <c r="E70" s="1214"/>
      <c r="F70" s="1208" t="str">
        <f t="shared" si="0"/>
        <v/>
      </c>
    </row>
    <row r="71" spans="2:6" ht="21.95" customHeight="1">
      <c r="B71" s="1212"/>
      <c r="C71" s="1213"/>
      <c r="D71" s="1213"/>
      <c r="E71" s="1214"/>
      <c r="F71" s="1208" t="str">
        <f t="shared" si="0"/>
        <v/>
      </c>
    </row>
    <row r="72" spans="2:6" ht="21.95" customHeight="1">
      <c r="B72" s="1212"/>
      <c r="C72" s="1213"/>
      <c r="D72" s="1213"/>
      <c r="E72" s="1214"/>
      <c r="F72" s="1208" t="str">
        <f t="shared" si="0"/>
        <v/>
      </c>
    </row>
    <row r="73" spans="2:6" ht="21.95" customHeight="1">
      <c r="B73" s="1212"/>
      <c r="C73" s="1213"/>
      <c r="D73" s="1213"/>
      <c r="E73" s="1214"/>
      <c r="F73" s="1208" t="str">
        <f t="shared" si="0"/>
        <v/>
      </c>
    </row>
    <row r="74" spans="2:6" ht="21.95" customHeight="1">
      <c r="B74" s="1212"/>
      <c r="C74" s="1213"/>
      <c r="D74" s="1213"/>
      <c r="E74" s="1214"/>
      <c r="F74" s="1208" t="str">
        <f t="shared" si="0"/>
        <v/>
      </c>
    </row>
    <row r="75" spans="2:6" ht="21.95" customHeight="1">
      <c r="B75" s="1212"/>
      <c r="C75" s="1213"/>
      <c r="D75" s="1213"/>
      <c r="E75" s="1214"/>
      <c r="F75" s="1208" t="str">
        <f t="shared" ref="F75:F81" si="1">IF(C75="","",E75*C75)</f>
        <v/>
      </c>
    </row>
    <row r="76" spans="2:6" ht="21.95" customHeight="1">
      <c r="B76" s="1212"/>
      <c r="C76" s="1213"/>
      <c r="D76" s="1213"/>
      <c r="E76" s="1214"/>
      <c r="F76" s="1208" t="str">
        <f t="shared" si="1"/>
        <v/>
      </c>
    </row>
    <row r="77" spans="2:6" ht="21.95" customHeight="1">
      <c r="B77" s="1212"/>
      <c r="C77" s="1213"/>
      <c r="D77" s="1213"/>
      <c r="E77" s="1214"/>
      <c r="F77" s="1208" t="str">
        <f t="shared" si="1"/>
        <v/>
      </c>
    </row>
    <row r="78" spans="2:6" ht="21.95" customHeight="1">
      <c r="B78" s="1212"/>
      <c r="C78" s="1213"/>
      <c r="D78" s="1213"/>
      <c r="E78" s="1214"/>
      <c r="F78" s="1208" t="str">
        <f t="shared" si="1"/>
        <v/>
      </c>
    </row>
    <row r="79" spans="2:6" ht="21.95" customHeight="1">
      <c r="B79" s="1212"/>
      <c r="C79" s="1213"/>
      <c r="D79" s="1213"/>
      <c r="E79" s="1214"/>
      <c r="F79" s="1208" t="str">
        <f t="shared" si="1"/>
        <v/>
      </c>
    </row>
    <row r="80" spans="2:6" ht="21.95" customHeight="1">
      <c r="B80" s="1212"/>
      <c r="C80" s="1213"/>
      <c r="D80" s="1213"/>
      <c r="E80" s="1214"/>
      <c r="F80" s="1208" t="str">
        <f t="shared" si="1"/>
        <v/>
      </c>
    </row>
    <row r="81" spans="2:6" ht="21.95" customHeight="1">
      <c r="B81" s="1212"/>
      <c r="C81" s="1213"/>
      <c r="D81" s="1213"/>
      <c r="E81" s="1214"/>
      <c r="F81" s="1208" t="str">
        <f t="shared" si="1"/>
        <v/>
      </c>
    </row>
  </sheetData>
  <sheetProtection algorithmName="SHA-512" hashValue="B5YA/+Y2lWk6lzIuULUosUKEVWMsatkxO4Jt4/wRM09EHFoO0kZdirSJnnyYmrrNjxfoy1Dx7wMxKzIF/HHt8g==" saltValue="wkxpY7W9jihOtvxhD83Fyg==" spinCount="100000" sheet="1" formatColumns="0" formatRows="0" autoFilter="0"/>
  <mergeCells count="3">
    <mergeCell ref="A3:B3"/>
    <mergeCell ref="A1:B1"/>
    <mergeCell ref="B5:D7"/>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tabColor theme="5" tint="-0.249977111117893"/>
    <pageSetUpPr fitToPage="1"/>
  </sheetPr>
  <dimension ref="A1:R65"/>
  <sheetViews>
    <sheetView showGridLines="0" topLeftCell="B1" zoomScaleNormal="100" workbookViewId="0">
      <selection activeCell="D42" sqref="D42:D46"/>
    </sheetView>
  </sheetViews>
  <sheetFormatPr defaultRowHeight="12.75"/>
  <cols>
    <col min="1" max="1" width="3.7109375" style="29" customWidth="1"/>
    <col min="2" max="2" width="32.42578125" style="183" bestFit="1" customWidth="1"/>
    <col min="3" max="3" width="7" style="29" customWidth="1"/>
    <col min="4" max="4" width="43.85546875" style="42" customWidth="1"/>
    <col min="5" max="5" width="20" style="29" customWidth="1"/>
    <col min="6" max="6" width="16.28515625" style="29" customWidth="1"/>
    <col min="7" max="7" width="33.140625" style="29" customWidth="1"/>
    <col min="8" max="8" width="11.85546875" style="188" customWidth="1"/>
    <col min="9" max="9" width="7.28515625" style="29" customWidth="1"/>
    <col min="10" max="10" width="17.42578125" style="188" customWidth="1"/>
    <col min="11" max="11" width="3.42578125" style="188" customWidth="1"/>
    <col min="12" max="12" width="69.28515625" style="29" customWidth="1"/>
    <col min="13" max="13" width="9.85546875" style="29" customWidth="1"/>
    <col min="14" max="14" width="16" style="29" customWidth="1"/>
    <col min="15" max="15" width="28.42578125" style="29" customWidth="1"/>
    <col min="16" max="16" width="4.85546875" style="29" customWidth="1"/>
    <col min="17" max="259" width="8.85546875" style="29"/>
    <col min="260" max="260" width="13.140625" style="29" customWidth="1"/>
    <col min="261" max="261" width="21" style="29" customWidth="1"/>
    <col min="262" max="265" width="13.140625" style="29" customWidth="1"/>
    <col min="266" max="266" width="19.85546875" style="29" customWidth="1"/>
    <col min="267" max="515" width="8.85546875" style="29"/>
    <col min="516" max="516" width="13.140625" style="29" customWidth="1"/>
    <col min="517" max="517" width="21" style="29" customWidth="1"/>
    <col min="518" max="521" width="13.140625" style="29" customWidth="1"/>
    <col min="522" max="522" width="19.85546875" style="29" customWidth="1"/>
    <col min="523" max="771" width="8.85546875" style="29"/>
    <col min="772" max="772" width="13.140625" style="29" customWidth="1"/>
    <col min="773" max="773" width="21" style="29" customWidth="1"/>
    <col min="774" max="777" width="13.140625" style="29" customWidth="1"/>
    <col min="778" max="778" width="19.85546875" style="29" customWidth="1"/>
    <col min="779" max="1027" width="8.85546875" style="29"/>
    <col min="1028" max="1028" width="13.140625" style="29" customWidth="1"/>
    <col min="1029" max="1029" width="21" style="29" customWidth="1"/>
    <col min="1030" max="1033" width="13.140625" style="29" customWidth="1"/>
    <col min="1034" max="1034" width="19.85546875" style="29" customWidth="1"/>
    <col min="1035" max="1283" width="8.85546875" style="29"/>
    <col min="1284" max="1284" width="13.140625" style="29" customWidth="1"/>
    <col min="1285" max="1285" width="21" style="29" customWidth="1"/>
    <col min="1286" max="1289" width="13.140625" style="29" customWidth="1"/>
    <col min="1290" max="1290" width="19.85546875" style="29" customWidth="1"/>
    <col min="1291" max="1539" width="8.85546875" style="29"/>
    <col min="1540" max="1540" width="13.140625" style="29" customWidth="1"/>
    <col min="1541" max="1541" width="21" style="29" customWidth="1"/>
    <col min="1542" max="1545" width="13.140625" style="29" customWidth="1"/>
    <col min="1546" max="1546" width="19.85546875" style="29" customWidth="1"/>
    <col min="1547" max="1795" width="8.85546875" style="29"/>
    <col min="1796" max="1796" width="13.140625" style="29" customWidth="1"/>
    <col min="1797" max="1797" width="21" style="29" customWidth="1"/>
    <col min="1798" max="1801" width="13.140625" style="29" customWidth="1"/>
    <col min="1802" max="1802" width="19.85546875" style="29" customWidth="1"/>
    <col min="1803" max="2051" width="8.85546875" style="29"/>
    <col min="2052" max="2052" width="13.140625" style="29" customWidth="1"/>
    <col min="2053" max="2053" width="21" style="29" customWidth="1"/>
    <col min="2054" max="2057" width="13.140625" style="29" customWidth="1"/>
    <col min="2058" max="2058" width="19.85546875" style="29" customWidth="1"/>
    <col min="2059" max="2307" width="8.85546875" style="29"/>
    <col min="2308" max="2308" width="13.140625" style="29" customWidth="1"/>
    <col min="2309" max="2309" width="21" style="29" customWidth="1"/>
    <col min="2310" max="2313" width="13.140625" style="29" customWidth="1"/>
    <col min="2314" max="2314" width="19.85546875" style="29" customWidth="1"/>
    <col min="2315" max="2563" width="8.85546875" style="29"/>
    <col min="2564" max="2564" width="13.140625" style="29" customWidth="1"/>
    <col min="2565" max="2565" width="21" style="29" customWidth="1"/>
    <col min="2566" max="2569" width="13.140625" style="29" customWidth="1"/>
    <col min="2570" max="2570" width="19.85546875" style="29" customWidth="1"/>
    <col min="2571" max="2819" width="8.85546875" style="29"/>
    <col min="2820" max="2820" width="13.140625" style="29" customWidth="1"/>
    <col min="2821" max="2821" width="21" style="29" customWidth="1"/>
    <col min="2822" max="2825" width="13.140625" style="29" customWidth="1"/>
    <col min="2826" max="2826" width="19.85546875" style="29" customWidth="1"/>
    <col min="2827" max="3075" width="8.85546875" style="29"/>
    <col min="3076" max="3076" width="13.140625" style="29" customWidth="1"/>
    <col min="3077" max="3077" width="21" style="29" customWidth="1"/>
    <col min="3078" max="3081" width="13.140625" style="29" customWidth="1"/>
    <col min="3082" max="3082" width="19.85546875" style="29" customWidth="1"/>
    <col min="3083" max="3331" width="8.85546875" style="29"/>
    <col min="3332" max="3332" width="13.140625" style="29" customWidth="1"/>
    <col min="3333" max="3333" width="21" style="29" customWidth="1"/>
    <col min="3334" max="3337" width="13.140625" style="29" customWidth="1"/>
    <col min="3338" max="3338" width="19.85546875" style="29" customWidth="1"/>
    <col min="3339" max="3587" width="8.85546875" style="29"/>
    <col min="3588" max="3588" width="13.140625" style="29" customWidth="1"/>
    <col min="3589" max="3589" width="21" style="29" customWidth="1"/>
    <col min="3590" max="3593" width="13.140625" style="29" customWidth="1"/>
    <col min="3594" max="3594" width="19.85546875" style="29" customWidth="1"/>
    <col min="3595" max="3843" width="8.85546875" style="29"/>
    <col min="3844" max="3844" width="13.140625" style="29" customWidth="1"/>
    <col min="3845" max="3845" width="21" style="29" customWidth="1"/>
    <col min="3846" max="3849" width="13.140625" style="29" customWidth="1"/>
    <col min="3850" max="3850" width="19.85546875" style="29" customWidth="1"/>
    <col min="3851" max="4099" width="8.85546875" style="29"/>
    <col min="4100" max="4100" width="13.140625" style="29" customWidth="1"/>
    <col min="4101" max="4101" width="21" style="29" customWidth="1"/>
    <col min="4102" max="4105" width="13.140625" style="29" customWidth="1"/>
    <col min="4106" max="4106" width="19.85546875" style="29" customWidth="1"/>
    <col min="4107" max="4355" width="8.85546875" style="29"/>
    <col min="4356" max="4356" width="13.140625" style="29" customWidth="1"/>
    <col min="4357" max="4357" width="21" style="29" customWidth="1"/>
    <col min="4358" max="4361" width="13.140625" style="29" customWidth="1"/>
    <col min="4362" max="4362" width="19.85546875" style="29" customWidth="1"/>
    <col min="4363" max="4611" width="8.85546875" style="29"/>
    <col min="4612" max="4612" width="13.140625" style="29" customWidth="1"/>
    <col min="4613" max="4613" width="21" style="29" customWidth="1"/>
    <col min="4614" max="4617" width="13.140625" style="29" customWidth="1"/>
    <col min="4618" max="4618" width="19.85546875" style="29" customWidth="1"/>
    <col min="4619" max="4867" width="8.85546875" style="29"/>
    <col min="4868" max="4868" width="13.140625" style="29" customWidth="1"/>
    <col min="4869" max="4869" width="21" style="29" customWidth="1"/>
    <col min="4870" max="4873" width="13.140625" style="29" customWidth="1"/>
    <col min="4874" max="4874" width="19.85546875" style="29" customWidth="1"/>
    <col min="4875" max="5123" width="8.85546875" style="29"/>
    <col min="5124" max="5124" width="13.140625" style="29" customWidth="1"/>
    <col min="5125" max="5125" width="21" style="29" customWidth="1"/>
    <col min="5126" max="5129" width="13.140625" style="29" customWidth="1"/>
    <col min="5130" max="5130" width="19.85546875" style="29" customWidth="1"/>
    <col min="5131" max="5379" width="8.85546875" style="29"/>
    <col min="5380" max="5380" width="13.140625" style="29" customWidth="1"/>
    <col min="5381" max="5381" width="21" style="29" customWidth="1"/>
    <col min="5382" max="5385" width="13.140625" style="29" customWidth="1"/>
    <col min="5386" max="5386" width="19.85546875" style="29" customWidth="1"/>
    <col min="5387" max="5635" width="8.85546875" style="29"/>
    <col min="5636" max="5636" width="13.140625" style="29" customWidth="1"/>
    <col min="5637" max="5637" width="21" style="29" customWidth="1"/>
    <col min="5638" max="5641" width="13.140625" style="29" customWidth="1"/>
    <col min="5642" max="5642" width="19.85546875" style="29" customWidth="1"/>
    <col min="5643" max="5891" width="8.85546875" style="29"/>
    <col min="5892" max="5892" width="13.140625" style="29" customWidth="1"/>
    <col min="5893" max="5893" width="21" style="29" customWidth="1"/>
    <col min="5894" max="5897" width="13.140625" style="29" customWidth="1"/>
    <col min="5898" max="5898" width="19.85546875" style="29" customWidth="1"/>
    <col min="5899" max="6147" width="8.85546875" style="29"/>
    <col min="6148" max="6148" width="13.140625" style="29" customWidth="1"/>
    <col min="6149" max="6149" width="21" style="29" customWidth="1"/>
    <col min="6150" max="6153" width="13.140625" style="29" customWidth="1"/>
    <col min="6154" max="6154" width="19.85546875" style="29" customWidth="1"/>
    <col min="6155" max="6403" width="8.85546875" style="29"/>
    <col min="6404" max="6404" width="13.140625" style="29" customWidth="1"/>
    <col min="6405" max="6405" width="21" style="29" customWidth="1"/>
    <col min="6406" max="6409" width="13.140625" style="29" customWidth="1"/>
    <col min="6410" max="6410" width="19.85546875" style="29" customWidth="1"/>
    <col min="6411" max="6659" width="8.85546875" style="29"/>
    <col min="6660" max="6660" width="13.140625" style="29" customWidth="1"/>
    <col min="6661" max="6661" width="21" style="29" customWidth="1"/>
    <col min="6662" max="6665" width="13.140625" style="29" customWidth="1"/>
    <col min="6666" max="6666" width="19.85546875" style="29" customWidth="1"/>
    <col min="6667" max="6915" width="8.85546875" style="29"/>
    <col min="6916" max="6916" width="13.140625" style="29" customWidth="1"/>
    <col min="6917" max="6917" width="21" style="29" customWidth="1"/>
    <col min="6918" max="6921" width="13.140625" style="29" customWidth="1"/>
    <col min="6922" max="6922" width="19.85546875" style="29" customWidth="1"/>
    <col min="6923" max="7171" width="8.85546875" style="29"/>
    <col min="7172" max="7172" width="13.140625" style="29" customWidth="1"/>
    <col min="7173" max="7173" width="21" style="29" customWidth="1"/>
    <col min="7174" max="7177" width="13.140625" style="29" customWidth="1"/>
    <col min="7178" max="7178" width="19.85546875" style="29" customWidth="1"/>
    <col min="7179" max="7427" width="8.85546875" style="29"/>
    <col min="7428" max="7428" width="13.140625" style="29" customWidth="1"/>
    <col min="7429" max="7429" width="21" style="29" customWidth="1"/>
    <col min="7430" max="7433" width="13.140625" style="29" customWidth="1"/>
    <col min="7434" max="7434" width="19.85546875" style="29" customWidth="1"/>
    <col min="7435" max="7683" width="8.85546875" style="29"/>
    <col min="7684" max="7684" width="13.140625" style="29" customWidth="1"/>
    <col min="7685" max="7685" width="21" style="29" customWidth="1"/>
    <col min="7686" max="7689" width="13.140625" style="29" customWidth="1"/>
    <col min="7690" max="7690" width="19.85546875" style="29" customWidth="1"/>
    <col min="7691" max="7939" width="8.85546875" style="29"/>
    <col min="7940" max="7940" width="13.140625" style="29" customWidth="1"/>
    <col min="7941" max="7941" width="21" style="29" customWidth="1"/>
    <col min="7942" max="7945" width="13.140625" style="29" customWidth="1"/>
    <col min="7946" max="7946" width="19.85546875" style="29" customWidth="1"/>
    <col min="7947" max="8195" width="8.85546875" style="29"/>
    <col min="8196" max="8196" width="13.140625" style="29" customWidth="1"/>
    <col min="8197" max="8197" width="21" style="29" customWidth="1"/>
    <col min="8198" max="8201" width="13.140625" style="29" customWidth="1"/>
    <col min="8202" max="8202" width="19.85546875" style="29" customWidth="1"/>
    <col min="8203" max="8451" width="8.85546875" style="29"/>
    <col min="8452" max="8452" width="13.140625" style="29" customWidth="1"/>
    <col min="8453" max="8453" width="21" style="29" customWidth="1"/>
    <col min="8454" max="8457" width="13.140625" style="29" customWidth="1"/>
    <col min="8458" max="8458" width="19.85546875" style="29" customWidth="1"/>
    <col min="8459" max="8707" width="8.85546875" style="29"/>
    <col min="8708" max="8708" width="13.140625" style="29" customWidth="1"/>
    <col min="8709" max="8709" width="21" style="29" customWidth="1"/>
    <col min="8710" max="8713" width="13.140625" style="29" customWidth="1"/>
    <col min="8714" max="8714" width="19.85546875" style="29" customWidth="1"/>
    <col min="8715" max="8963" width="8.85546875" style="29"/>
    <col min="8964" max="8964" width="13.140625" style="29" customWidth="1"/>
    <col min="8965" max="8965" width="21" style="29" customWidth="1"/>
    <col min="8966" max="8969" width="13.140625" style="29" customWidth="1"/>
    <col min="8970" max="8970" width="19.85546875" style="29" customWidth="1"/>
    <col min="8971" max="9219" width="8.85546875" style="29"/>
    <col min="9220" max="9220" width="13.140625" style="29" customWidth="1"/>
    <col min="9221" max="9221" width="21" style="29" customWidth="1"/>
    <col min="9222" max="9225" width="13.140625" style="29" customWidth="1"/>
    <col min="9226" max="9226" width="19.85546875" style="29" customWidth="1"/>
    <col min="9227" max="9475" width="8.85546875" style="29"/>
    <col min="9476" max="9476" width="13.140625" style="29" customWidth="1"/>
    <col min="9477" max="9477" width="21" style="29" customWidth="1"/>
    <col min="9478" max="9481" width="13.140625" style="29" customWidth="1"/>
    <col min="9482" max="9482" width="19.85546875" style="29" customWidth="1"/>
    <col min="9483" max="9731" width="8.85546875" style="29"/>
    <col min="9732" max="9732" width="13.140625" style="29" customWidth="1"/>
    <col min="9733" max="9733" width="21" style="29" customWidth="1"/>
    <col min="9734" max="9737" width="13.140625" style="29" customWidth="1"/>
    <col min="9738" max="9738" width="19.85546875" style="29" customWidth="1"/>
    <col min="9739" max="9987" width="8.85546875" style="29"/>
    <col min="9988" max="9988" width="13.140625" style="29" customWidth="1"/>
    <col min="9989" max="9989" width="21" style="29" customWidth="1"/>
    <col min="9990" max="9993" width="13.140625" style="29" customWidth="1"/>
    <col min="9994" max="9994" width="19.85546875" style="29" customWidth="1"/>
    <col min="9995" max="10243" width="8.85546875" style="29"/>
    <col min="10244" max="10244" width="13.140625" style="29" customWidth="1"/>
    <col min="10245" max="10245" width="21" style="29" customWidth="1"/>
    <col min="10246" max="10249" width="13.140625" style="29" customWidth="1"/>
    <col min="10250" max="10250" width="19.85546875" style="29" customWidth="1"/>
    <col min="10251" max="10499" width="8.85546875" style="29"/>
    <col min="10500" max="10500" width="13.140625" style="29" customWidth="1"/>
    <col min="10501" max="10501" width="21" style="29" customWidth="1"/>
    <col min="10502" max="10505" width="13.140625" style="29" customWidth="1"/>
    <col min="10506" max="10506" width="19.85546875" style="29" customWidth="1"/>
    <col min="10507" max="10755" width="8.85546875" style="29"/>
    <col min="10756" max="10756" width="13.140625" style="29" customWidth="1"/>
    <col min="10757" max="10757" width="21" style="29" customWidth="1"/>
    <col min="10758" max="10761" width="13.140625" style="29" customWidth="1"/>
    <col min="10762" max="10762" width="19.85546875" style="29" customWidth="1"/>
    <col min="10763" max="11011" width="8.85546875" style="29"/>
    <col min="11012" max="11012" width="13.140625" style="29" customWidth="1"/>
    <col min="11013" max="11013" width="21" style="29" customWidth="1"/>
    <col min="11014" max="11017" width="13.140625" style="29" customWidth="1"/>
    <col min="11018" max="11018" width="19.85546875" style="29" customWidth="1"/>
    <col min="11019" max="11267" width="8.85546875" style="29"/>
    <col min="11268" max="11268" width="13.140625" style="29" customWidth="1"/>
    <col min="11269" max="11269" width="21" style="29" customWidth="1"/>
    <col min="11270" max="11273" width="13.140625" style="29" customWidth="1"/>
    <col min="11274" max="11274" width="19.85546875" style="29" customWidth="1"/>
    <col min="11275" max="11523" width="8.85546875" style="29"/>
    <col min="11524" max="11524" width="13.140625" style="29" customWidth="1"/>
    <col min="11525" max="11525" width="21" style="29" customWidth="1"/>
    <col min="11526" max="11529" width="13.140625" style="29" customWidth="1"/>
    <col min="11530" max="11530" width="19.85546875" style="29" customWidth="1"/>
    <col min="11531" max="11779" width="8.85546875" style="29"/>
    <col min="11780" max="11780" width="13.140625" style="29" customWidth="1"/>
    <col min="11781" max="11781" width="21" style="29" customWidth="1"/>
    <col min="11782" max="11785" width="13.140625" style="29" customWidth="1"/>
    <col min="11786" max="11786" width="19.85546875" style="29" customWidth="1"/>
    <col min="11787" max="12035" width="8.85546875" style="29"/>
    <col min="12036" max="12036" width="13.140625" style="29" customWidth="1"/>
    <col min="12037" max="12037" width="21" style="29" customWidth="1"/>
    <col min="12038" max="12041" width="13.140625" style="29" customWidth="1"/>
    <col min="12042" max="12042" width="19.85546875" style="29" customWidth="1"/>
    <col min="12043" max="12291" width="8.85546875" style="29"/>
    <col min="12292" max="12292" width="13.140625" style="29" customWidth="1"/>
    <col min="12293" max="12293" width="21" style="29" customWidth="1"/>
    <col min="12294" max="12297" width="13.140625" style="29" customWidth="1"/>
    <col min="12298" max="12298" width="19.85546875" style="29" customWidth="1"/>
    <col min="12299" max="12547" width="8.85546875" style="29"/>
    <col min="12548" max="12548" width="13.140625" style="29" customWidth="1"/>
    <col min="12549" max="12549" width="21" style="29" customWidth="1"/>
    <col min="12550" max="12553" width="13.140625" style="29" customWidth="1"/>
    <col min="12554" max="12554" width="19.85546875" style="29" customWidth="1"/>
    <col min="12555" max="12803" width="8.85546875" style="29"/>
    <col min="12804" max="12804" width="13.140625" style="29" customWidth="1"/>
    <col min="12805" max="12805" width="21" style="29" customWidth="1"/>
    <col min="12806" max="12809" width="13.140625" style="29" customWidth="1"/>
    <col min="12810" max="12810" width="19.85546875" style="29" customWidth="1"/>
    <col min="12811" max="13059" width="8.85546875" style="29"/>
    <col min="13060" max="13060" width="13.140625" style="29" customWidth="1"/>
    <col min="13061" max="13061" width="21" style="29" customWidth="1"/>
    <col min="13062" max="13065" width="13.140625" style="29" customWidth="1"/>
    <col min="13066" max="13066" width="19.85546875" style="29" customWidth="1"/>
    <col min="13067" max="13315" width="8.85546875" style="29"/>
    <col min="13316" max="13316" width="13.140625" style="29" customWidth="1"/>
    <col min="13317" max="13317" width="21" style="29" customWidth="1"/>
    <col min="13318" max="13321" width="13.140625" style="29" customWidth="1"/>
    <col min="13322" max="13322" width="19.85546875" style="29" customWidth="1"/>
    <col min="13323" max="13571" width="8.85546875" style="29"/>
    <col min="13572" max="13572" width="13.140625" style="29" customWidth="1"/>
    <col min="13573" max="13573" width="21" style="29" customWidth="1"/>
    <col min="13574" max="13577" width="13.140625" style="29" customWidth="1"/>
    <col min="13578" max="13578" width="19.85546875" style="29" customWidth="1"/>
    <col min="13579" max="13827" width="8.85546875" style="29"/>
    <col min="13828" max="13828" width="13.140625" style="29" customWidth="1"/>
    <col min="13829" max="13829" width="21" style="29" customWidth="1"/>
    <col min="13830" max="13833" width="13.140625" style="29" customWidth="1"/>
    <col min="13834" max="13834" width="19.85546875" style="29" customWidth="1"/>
    <col min="13835" max="14083" width="8.85546875" style="29"/>
    <col min="14084" max="14084" width="13.140625" style="29" customWidth="1"/>
    <col min="14085" max="14085" width="21" style="29" customWidth="1"/>
    <col min="14086" max="14089" width="13.140625" style="29" customWidth="1"/>
    <col min="14090" max="14090" width="19.85546875" style="29" customWidth="1"/>
    <col min="14091" max="14339" width="8.85546875" style="29"/>
    <col min="14340" max="14340" width="13.140625" style="29" customWidth="1"/>
    <col min="14341" max="14341" width="21" style="29" customWidth="1"/>
    <col min="14342" max="14345" width="13.140625" style="29" customWidth="1"/>
    <col min="14346" max="14346" width="19.85546875" style="29" customWidth="1"/>
    <col min="14347" max="14595" width="8.85546875" style="29"/>
    <col min="14596" max="14596" width="13.140625" style="29" customWidth="1"/>
    <col min="14597" max="14597" width="21" style="29" customWidth="1"/>
    <col min="14598" max="14601" width="13.140625" style="29" customWidth="1"/>
    <col min="14602" max="14602" width="19.85546875" style="29" customWidth="1"/>
    <col min="14603" max="14851" width="8.85546875" style="29"/>
    <col min="14852" max="14852" width="13.140625" style="29" customWidth="1"/>
    <col min="14853" max="14853" width="21" style="29" customWidth="1"/>
    <col min="14854" max="14857" width="13.140625" style="29" customWidth="1"/>
    <col min="14858" max="14858" width="19.85546875" style="29" customWidth="1"/>
    <col min="14859" max="15107" width="8.85546875" style="29"/>
    <col min="15108" max="15108" width="13.140625" style="29" customWidth="1"/>
    <col min="15109" max="15109" width="21" style="29" customWidth="1"/>
    <col min="15110" max="15113" width="13.140625" style="29" customWidth="1"/>
    <col min="15114" max="15114" width="19.85546875" style="29" customWidth="1"/>
    <col min="15115" max="15363" width="8.85546875" style="29"/>
    <col min="15364" max="15364" width="13.140625" style="29" customWidth="1"/>
    <col min="15365" max="15365" width="21" style="29" customWidth="1"/>
    <col min="15366" max="15369" width="13.140625" style="29" customWidth="1"/>
    <col min="15370" max="15370" width="19.85546875" style="29" customWidth="1"/>
    <col min="15371" max="15619" width="8.85546875" style="29"/>
    <col min="15620" max="15620" width="13.140625" style="29" customWidth="1"/>
    <col min="15621" max="15621" width="21" style="29" customWidth="1"/>
    <col min="15622" max="15625" width="13.140625" style="29" customWidth="1"/>
    <col min="15626" max="15626" width="19.85546875" style="29" customWidth="1"/>
    <col min="15627" max="15875" width="8.85546875" style="29"/>
    <col min="15876" max="15876" width="13.140625" style="29" customWidth="1"/>
    <col min="15877" max="15877" width="21" style="29" customWidth="1"/>
    <col min="15878" max="15881" width="13.140625" style="29" customWidth="1"/>
    <col min="15882" max="15882" width="19.85546875" style="29" customWidth="1"/>
    <col min="15883" max="16131" width="8.85546875" style="29"/>
    <col min="16132" max="16132" width="13.140625" style="29" customWidth="1"/>
    <col min="16133" max="16133" width="21" style="29" customWidth="1"/>
    <col min="16134" max="16137" width="13.140625" style="29" customWidth="1"/>
    <col min="16138" max="16138" width="19.85546875" style="29" customWidth="1"/>
    <col min="16139" max="16384" width="8.85546875" style="29"/>
  </cols>
  <sheetData>
    <row r="1" spans="1:18" ht="22.15" customHeight="1">
      <c r="B1" s="200"/>
      <c r="D1" s="783"/>
    </row>
    <row r="2" spans="1:18" s="185" customFormat="1" ht="43.9" customHeight="1">
      <c r="B2" s="184" t="s">
        <v>543</v>
      </c>
      <c r="D2" s="186" t="s">
        <v>544</v>
      </c>
      <c r="E2" s="185" t="s">
        <v>545</v>
      </c>
      <c r="F2" s="185" t="s">
        <v>546</v>
      </c>
      <c r="G2" s="185" t="s">
        <v>547</v>
      </c>
      <c r="H2" s="187" t="s">
        <v>548</v>
      </c>
      <c r="I2" s="185" t="s">
        <v>549</v>
      </c>
      <c r="J2" s="187" t="s">
        <v>550</v>
      </c>
      <c r="K2" s="187"/>
      <c r="M2" s="365"/>
      <c r="N2" s="365"/>
      <c r="O2" s="365"/>
      <c r="P2" s="365"/>
      <c r="Q2" s="365"/>
      <c r="R2" s="29"/>
    </row>
    <row r="3" spans="1:18" ht="22.15" customHeight="1" thickBot="1">
      <c r="A3" s="201" t="s">
        <v>551</v>
      </c>
      <c r="D3" s="783"/>
      <c r="H3" s="29"/>
      <c r="J3" s="29"/>
      <c r="K3" s="29"/>
      <c r="M3" s="237"/>
      <c r="N3" s="237"/>
    </row>
    <row r="4" spans="1:18" ht="22.15" customHeight="1" thickBot="1">
      <c r="B4" s="959"/>
      <c r="C4" s="960"/>
      <c r="D4" s="961"/>
      <c r="E4" s="251"/>
      <c r="F4" s="203"/>
      <c r="G4" s="203"/>
      <c r="H4" s="204">
        <f>SUM(G4-F4)/365</f>
        <v>0</v>
      </c>
      <c r="I4" s="263"/>
      <c r="J4" s="265">
        <f>SUM(E4*(1+I4)^(H4))</f>
        <v>0</v>
      </c>
      <c r="K4" s="236"/>
    </row>
    <row r="5" spans="1:18" ht="22.15" customHeight="1" thickBot="1">
      <c r="B5" s="199"/>
      <c r="D5" s="205"/>
      <c r="E5" s="250"/>
      <c r="I5" s="264"/>
      <c r="J5" s="266"/>
      <c r="N5" s="29" t="s">
        <v>32</v>
      </c>
    </row>
    <row r="6" spans="1:18" ht="22.15" customHeight="1" thickBot="1">
      <c r="B6" s="959"/>
      <c r="C6" s="960"/>
      <c r="D6" s="961"/>
      <c r="E6" s="251"/>
      <c r="F6" s="203"/>
      <c r="G6" s="203"/>
      <c r="H6" s="204">
        <f>SUM(G6-F6)/365</f>
        <v>0</v>
      </c>
      <c r="I6" s="263"/>
      <c r="J6" s="265">
        <f>SUM(E6*(1+I6)^(H6))</f>
        <v>0</v>
      </c>
      <c r="K6" s="236"/>
    </row>
    <row r="7" spans="1:18" ht="22.15" customHeight="1" thickBot="1">
      <c r="B7" s="199"/>
      <c r="D7" s="205"/>
      <c r="E7" s="250"/>
      <c r="I7" s="264"/>
      <c r="J7" s="266"/>
    </row>
    <row r="8" spans="1:18" ht="22.15" customHeight="1" thickBot="1">
      <c r="B8" s="959"/>
      <c r="C8" s="960"/>
      <c r="D8" s="961"/>
      <c r="E8" s="251"/>
      <c r="F8" s="203"/>
      <c r="G8" s="203"/>
      <c r="H8" s="204">
        <f>SUM(G8-F8)/365</f>
        <v>0</v>
      </c>
      <c r="I8" s="263"/>
      <c r="J8" s="265">
        <f>SUM(E8*(1+I8)^(H8))</f>
        <v>0</v>
      </c>
      <c r="K8" s="236"/>
      <c r="M8" s="240"/>
    </row>
    <row r="9" spans="1:18" ht="22.15" customHeight="1" thickBot="1">
      <c r="D9" s="783"/>
      <c r="E9" s="250"/>
      <c r="M9" s="240"/>
    </row>
    <row r="10" spans="1:18" ht="35.25" customHeight="1" thickTop="1" thickBot="1">
      <c r="D10" s="783"/>
      <c r="E10" s="450" t="s">
        <v>552</v>
      </c>
      <c r="F10" s="451" t="s">
        <v>553</v>
      </c>
      <c r="G10" s="451" t="s">
        <v>554</v>
      </c>
      <c r="H10" s="452" t="s">
        <v>555</v>
      </c>
      <c r="I10" s="451" t="s">
        <v>556</v>
      </c>
      <c r="J10" s="453" t="s">
        <v>557</v>
      </c>
      <c r="M10" s="240"/>
    </row>
    <row r="11" spans="1:18" ht="22.15" customHeight="1" thickTop="1" thickBot="1">
      <c r="A11" s="395" t="s">
        <v>558</v>
      </c>
      <c r="D11" s="783"/>
      <c r="E11" s="250"/>
      <c r="M11" s="183" t="s">
        <v>559</v>
      </c>
    </row>
    <row r="12" spans="1:18" ht="22.15" customHeight="1">
      <c r="B12" s="969" t="str">
        <f>'P-Overview'!B25</f>
        <v>Construction</v>
      </c>
      <c r="C12" s="971"/>
      <c r="D12" s="967" t="e" cm="1">
        <f t="array" aca="1" ref="D12" ca="1">CELL("filename",D35)</f>
        <v>#VALUE!</v>
      </c>
      <c r="E12" s="396">
        <f>'P-Overview'!C25</f>
        <v>0</v>
      </c>
      <c r="F12" s="397">
        <f ca="1">DATE('P-HCI'!$F$2,1,1)</f>
        <v>46023</v>
      </c>
      <c r="G12" s="398">
        <f ca="1">MIN(DATE(YEAR(F12),12,31),'P-Overview'!$C$47)</f>
        <v>0</v>
      </c>
      <c r="H12" s="399">
        <f ca="1">SUM(G12-F12)/365</f>
        <v>-126.09041095890412</v>
      </c>
      <c r="I12" s="400">
        <f>'P-Overview'!U47</f>
        <v>7.4999999999999997E-2</v>
      </c>
      <c r="J12" s="401">
        <f ca="1">SUM(E12*(1+I12)^(H12))</f>
        <v>0</v>
      </c>
      <c r="K12" s="236"/>
      <c r="L12" s="29" t="str">
        <f ca="1">TEXT(F12,"MM/DD/YYYY")&amp;" to minimum of YearEnd or "&amp;'P-Overview'!$B$47&amp;"."</f>
        <v>01/01/2026 to minimum of YearEnd or Mid-Point of Construction.</v>
      </c>
      <c r="M12" s="240"/>
    </row>
    <row r="13" spans="1:18" ht="22.15" customHeight="1">
      <c r="B13" s="969"/>
      <c r="C13" s="971"/>
      <c r="D13" s="967"/>
      <c r="E13" s="402"/>
      <c r="F13" s="403"/>
      <c r="G13" s="404"/>
      <c r="H13" s="405"/>
      <c r="I13" s="406"/>
      <c r="J13" s="407"/>
      <c r="K13" s="236"/>
      <c r="L13" s="408"/>
    </row>
    <row r="14" spans="1:18" ht="22.15" customHeight="1">
      <c r="B14" s="970"/>
      <c r="C14" s="972"/>
      <c r="D14" s="968"/>
      <c r="E14" s="409">
        <f ca="1">J12</f>
        <v>0</v>
      </c>
      <c r="F14" s="404">
        <f ca="1">MIN('P-Overview'!$C$47,G12+1)</f>
        <v>0</v>
      </c>
      <c r="G14" s="404">
        <f ca="1">MIN(DATE(YEAR(F14),12,31),'P-Overview'!$C$47)</f>
        <v>0</v>
      </c>
      <c r="H14" s="405">
        <f ca="1">SUM(G14-F14)/365</f>
        <v>0</v>
      </c>
      <c r="I14" s="406">
        <f>'P-Overview'!U48</f>
        <v>0.04</v>
      </c>
      <c r="J14" s="410">
        <f ca="1">SUM(E14*(1+I14)^(H14))</f>
        <v>0</v>
      </c>
      <c r="K14" s="236"/>
      <c r="L14" s="29" t="str">
        <f ca="1">TEXT(F14,"MM/DD/YYYY")&amp;" to minimum of YearEnd or "&amp;'P-Overview'!$B$47&amp;"."</f>
        <v>01/00/1900 to minimum of YearEnd or Mid-Point of Construction.</v>
      </c>
      <c r="M14" s="29" t="e">
        <f ca="1">J16/E12</f>
        <v>#DIV/0!</v>
      </c>
    </row>
    <row r="15" spans="1:18" ht="22.15" customHeight="1">
      <c r="B15" s="968"/>
      <c r="C15" s="972"/>
      <c r="D15" s="968"/>
      <c r="E15" s="402"/>
      <c r="F15" s="404"/>
      <c r="G15" s="404"/>
      <c r="H15" s="405"/>
      <c r="I15" s="406"/>
      <c r="J15" s="407"/>
      <c r="K15" s="236"/>
      <c r="M15" s="240"/>
    </row>
    <row r="16" spans="1:18" ht="22.15" customHeight="1" thickBot="1">
      <c r="B16" s="968"/>
      <c r="C16" s="972"/>
      <c r="D16" s="968"/>
      <c r="E16" s="411">
        <f ca="1">J14</f>
        <v>0</v>
      </c>
      <c r="F16" s="412">
        <f ca="1">MIN('P-Overview'!$C$47,G14+1)</f>
        <v>0</v>
      </c>
      <c r="G16" s="412">
        <f>'P-Overview'!$C$47</f>
        <v>0</v>
      </c>
      <c r="H16" s="413">
        <f ca="1">SUM(G16-F16)/365</f>
        <v>0</v>
      </c>
      <c r="I16" s="414">
        <f>'P-Overview'!U49</f>
        <v>3.5000000000000003E-2</v>
      </c>
      <c r="J16" s="415">
        <f ca="1">SUM(E16*(1+I16)^(H16))</f>
        <v>0</v>
      </c>
      <c r="K16" s="236"/>
      <c r="L16" s="29" t="str">
        <f ca="1">TEXT(F16,"MM/DD/YYYY")&amp;" to minimum of YearEnd or "&amp;'P-Overview'!$B$47&amp;"."</f>
        <v>01/00/1900 to minimum of YearEnd or Mid-Point of Construction.</v>
      </c>
      <c r="M16" s="240"/>
    </row>
    <row r="17" spans="2:15" ht="22.15" customHeight="1" thickBot="1">
      <c r="D17" s="783"/>
      <c r="E17" s="250"/>
      <c r="J17" s="416"/>
      <c r="K17" s="416"/>
      <c r="M17" s="240"/>
    </row>
    <row r="18" spans="2:15" ht="22.35" customHeight="1">
      <c r="B18" s="981" t="str">
        <f>'P-Overview'!B26</f>
        <v>Design &amp; Related Services</v>
      </c>
      <c r="C18" s="980"/>
      <c r="D18" s="980" t="s">
        <v>560</v>
      </c>
      <c r="E18" s="460">
        <f>'P-Overview'!C26</f>
        <v>0</v>
      </c>
      <c r="F18" s="461">
        <f ca="1">$F$12</f>
        <v>46023</v>
      </c>
      <c r="G18" s="461">
        <f ca="1">MIN(DATE(YEAR(F18),12,31),'P-Overview'!$C$46)</f>
        <v>46387</v>
      </c>
      <c r="H18" s="399">
        <f ca="1">SUM(G18-F18)/365</f>
        <v>0.99726027397260275</v>
      </c>
      <c r="I18" s="462">
        <f>'P-Overview'!$T$47</f>
        <v>0.04</v>
      </c>
      <c r="J18" s="401">
        <f ca="1">SUM(E18*(1+I18)^(H18))</f>
        <v>0</v>
      </c>
      <c r="K18" s="236"/>
      <c r="L18" s="29" t="str">
        <f ca="1">TEXT(F18,"MM/DD/YYYY")&amp;" to minimum of YearEnd or "&amp;'P-Overview'!$B$46&amp;"."</f>
        <v>01/01/2026 to minimum of YearEnd or Start of construction.</v>
      </c>
    </row>
    <row r="19" spans="2:15" ht="21.75" customHeight="1">
      <c r="B19" s="981"/>
      <c r="C19" s="980"/>
      <c r="D19" s="980"/>
      <c r="E19" s="402"/>
      <c r="F19" s="403"/>
      <c r="G19" s="404"/>
      <c r="H19" s="405"/>
      <c r="I19" s="406"/>
      <c r="J19" s="407"/>
      <c r="K19" s="236"/>
      <c r="M19" s="240"/>
    </row>
    <row r="20" spans="2:15" ht="22.35" customHeight="1">
      <c r="B20" s="981"/>
      <c r="C20" s="980"/>
      <c r="D20" s="980"/>
      <c r="E20" s="409">
        <f ca="1">J18</f>
        <v>0</v>
      </c>
      <c r="F20" s="404">
        <f ca="1">MIN('P-Overview'!$C$46,G18+1)</f>
        <v>46388</v>
      </c>
      <c r="G20" s="404">
        <f ca="1">MIN(DATE(YEAR(F20),12,31),'P-Overview'!$C$46)</f>
        <v>46752</v>
      </c>
      <c r="H20" s="405">
        <f ca="1">SUM(G20-F20)/365</f>
        <v>0.99726027397260275</v>
      </c>
      <c r="I20" s="406">
        <f>'P-Overview'!$T$48</f>
        <v>0.04</v>
      </c>
      <c r="J20" s="410">
        <f ca="1">SUM(E20*(1+I20)^(H20))</f>
        <v>0</v>
      </c>
      <c r="K20" s="236"/>
      <c r="L20" s="29" t="str">
        <f ca="1">TEXT(F20,"MM/DD/YYYY")&amp;" to minimum of YearEnd or "&amp;'P-Overview'!$B$46&amp;"."</f>
        <v>01/01/2027 to minimum of YearEnd or Start of construction.</v>
      </c>
      <c r="M20" s="29" t="e">
        <f ca="1">J22/E18</f>
        <v>#DIV/0!</v>
      </c>
    </row>
    <row r="21" spans="2:15" ht="19.5" customHeight="1">
      <c r="B21" s="981"/>
      <c r="C21" s="980"/>
      <c r="D21" s="980"/>
      <c r="E21" s="402"/>
      <c r="F21" s="404"/>
      <c r="G21" s="404"/>
      <c r="H21" s="405"/>
      <c r="I21" s="406"/>
      <c r="J21" s="407"/>
      <c r="K21" s="236"/>
      <c r="M21" s="240"/>
    </row>
    <row r="22" spans="2:15" ht="22.35" customHeight="1" thickBot="1">
      <c r="B22" s="981"/>
      <c r="C22" s="980"/>
      <c r="D22" s="980"/>
      <c r="E22" s="411">
        <f ca="1">J20</f>
        <v>0</v>
      </c>
      <c r="F22" s="412">
        <f ca="1">MIN('P-Overview'!$C$46,G20+1)</f>
        <v>46753</v>
      </c>
      <c r="G22" s="412">
        <f>'P-Overview'!$C$46</f>
        <v>0</v>
      </c>
      <c r="H22" s="413">
        <f ca="1">SUM(G22-F22)/365</f>
        <v>-128.0904109589041</v>
      </c>
      <c r="I22" s="414">
        <f>'P-Overview'!$T$49</f>
        <v>3.5000000000000003E-2</v>
      </c>
      <c r="J22" s="415">
        <f ca="1">SUM(E22*(1+I22)^(H22))</f>
        <v>0</v>
      </c>
      <c r="K22" s="236"/>
      <c r="L22" s="29" t="str">
        <f ca="1">TEXT(F22,"MM/DD/YYYY")&amp;" to minimum of YearEnd or "&amp;'P-Overview'!$B$46&amp;"."</f>
        <v>01/01/2028 to minimum of YearEnd or Start of construction.</v>
      </c>
      <c r="M22" s="240"/>
      <c r="O22" s="404"/>
    </row>
    <row r="23" spans="2:15" ht="22.15" customHeight="1" thickBot="1">
      <c r="D23" s="783"/>
      <c r="E23" s="250"/>
      <c r="M23" s="240"/>
    </row>
    <row r="24" spans="2:15" ht="22.35" customHeight="1">
      <c r="B24" s="981" t="str">
        <f>'P-Overview'!B27</f>
        <v>Inspection &amp; Testing Services</v>
      </c>
      <c r="C24" s="980"/>
      <c r="D24" s="980" t="s">
        <v>560</v>
      </c>
      <c r="E24" s="460">
        <f>'P-Overview'!C27</f>
        <v>0</v>
      </c>
      <c r="F24" s="461">
        <f ca="1">$F$12</f>
        <v>46023</v>
      </c>
      <c r="G24" s="461">
        <f ca="1">MIN(DATE(YEAR(F24),12,31),'P-Overview'!$C$46)</f>
        <v>46387</v>
      </c>
      <c r="H24" s="399">
        <f ca="1">SUM(G24-F24)/365</f>
        <v>0.99726027397260275</v>
      </c>
      <c r="I24" s="462">
        <f>'P-Overview'!$T$47</f>
        <v>0.04</v>
      </c>
      <c r="J24" s="401">
        <f ca="1">SUM(E24*(1+I24)^(H24))</f>
        <v>0</v>
      </c>
      <c r="K24" s="236"/>
      <c r="L24" s="29" t="str">
        <f ca="1">TEXT(F24,"MM/DD/YYYY")&amp;" to minimum of YearEnd or "&amp;'P-Overview'!$B$46&amp;"."</f>
        <v>01/01/2026 to minimum of YearEnd or Start of construction.</v>
      </c>
    </row>
    <row r="25" spans="2:15" ht="21.75" customHeight="1">
      <c r="B25" s="981"/>
      <c r="C25" s="980"/>
      <c r="D25" s="980"/>
      <c r="E25" s="402"/>
      <c r="F25" s="403"/>
      <c r="G25" s="404"/>
      <c r="H25" s="405"/>
      <c r="I25" s="406"/>
      <c r="J25" s="407"/>
      <c r="K25" s="236"/>
      <c r="M25" s="240"/>
    </row>
    <row r="26" spans="2:15" ht="22.35" customHeight="1">
      <c r="B26" s="981"/>
      <c r="C26" s="980"/>
      <c r="D26" s="980"/>
      <c r="E26" s="409">
        <f ca="1">J24</f>
        <v>0</v>
      </c>
      <c r="F26" s="404">
        <f ca="1">MIN('P-Overview'!$C$46,G24+1)</f>
        <v>46388</v>
      </c>
      <c r="G26" s="404">
        <f ca="1">MIN(DATE(YEAR(F26),12,31),'P-Overview'!$C$46)</f>
        <v>46752</v>
      </c>
      <c r="H26" s="405">
        <f ca="1">SUM(G26-F26)/365</f>
        <v>0.99726027397260275</v>
      </c>
      <c r="I26" s="406">
        <f>'P-Overview'!$T$48</f>
        <v>0.04</v>
      </c>
      <c r="J26" s="410">
        <f ca="1">SUM(E26*(1+I26)^(H26))</f>
        <v>0</v>
      </c>
      <c r="K26" s="236"/>
      <c r="L26" s="29" t="str">
        <f ca="1">TEXT(F26,"MM/DD/YYYY")&amp;" to minimum of YearEnd or "&amp;'P-Overview'!$B$46&amp;"."</f>
        <v>01/01/2027 to minimum of YearEnd or Start of construction.</v>
      </c>
      <c r="M26" s="29" t="e">
        <f ca="1">J28/E24</f>
        <v>#DIV/0!</v>
      </c>
    </row>
    <row r="27" spans="2:15" ht="19.5" customHeight="1">
      <c r="B27" s="981"/>
      <c r="C27" s="980"/>
      <c r="D27" s="980"/>
      <c r="E27" s="402"/>
      <c r="F27" s="404"/>
      <c r="G27" s="404"/>
      <c r="H27" s="405"/>
      <c r="I27" s="406"/>
      <c r="J27" s="407"/>
      <c r="K27" s="236"/>
      <c r="M27" s="240"/>
      <c r="O27" s="730"/>
    </row>
    <row r="28" spans="2:15" ht="22.35" customHeight="1" thickBot="1">
      <c r="B28" s="981"/>
      <c r="C28" s="980"/>
      <c r="D28" s="980"/>
      <c r="E28" s="411">
        <f ca="1">J26</f>
        <v>0</v>
      </c>
      <c r="F28" s="412">
        <f ca="1">MIN('P-Overview'!$C$46,G26+1)</f>
        <v>46753</v>
      </c>
      <c r="G28" s="412">
        <f>'P-Overview'!$C$46</f>
        <v>0</v>
      </c>
      <c r="H28" s="413">
        <f ca="1">SUM(G28-F28)/365</f>
        <v>-128.0904109589041</v>
      </c>
      <c r="I28" s="414">
        <f>'P-Overview'!$T$49</f>
        <v>3.5000000000000003E-2</v>
      </c>
      <c r="J28" s="415">
        <f ca="1">SUM(E28*(1+I28)^(H28))</f>
        <v>0</v>
      </c>
      <c r="K28" s="236"/>
      <c r="L28" s="29" t="str">
        <f ca="1">TEXT(F28,"MM/DD/YYYY")&amp;" to minimum of YearEnd or "&amp;'P-Overview'!$B$46&amp;"."</f>
        <v>01/01/2028 to minimum of YearEnd or Start of construction.</v>
      </c>
      <c r="M28" s="240"/>
    </row>
    <row r="29" spans="2:15" ht="22.15" customHeight="1" thickBot="1">
      <c r="D29" s="783"/>
      <c r="E29" s="250"/>
      <c r="J29" s="417"/>
      <c r="M29" s="240"/>
    </row>
    <row r="30" spans="2:15" ht="22.35" customHeight="1">
      <c r="B30" s="981" t="str">
        <f>'P-Overview'!B28</f>
        <v>Project Management &amp; Other Costs</v>
      </c>
      <c r="C30" s="980"/>
      <c r="D30" s="980" t="s">
        <v>560</v>
      </c>
      <c r="E30" s="460">
        <f>'P-Overview'!C28</f>
        <v>0</v>
      </c>
      <c r="F30" s="461">
        <f ca="1">$F$12</f>
        <v>46023</v>
      </c>
      <c r="G30" s="461">
        <f ca="1">MIN(DATE(YEAR(F30),12,31),'P-Overview'!$C$46)</f>
        <v>46387</v>
      </c>
      <c r="H30" s="399">
        <f ca="1">SUM(G30-F30)/365</f>
        <v>0.99726027397260275</v>
      </c>
      <c r="I30" s="462">
        <f>'P-Overview'!$T$47</f>
        <v>0.04</v>
      </c>
      <c r="J30" s="401">
        <f ca="1">SUM(E30*(1+I30)^(H30))</f>
        <v>0</v>
      </c>
      <c r="K30" s="236"/>
      <c r="L30" s="29" t="str">
        <f ca="1">TEXT(F30,"MM/DD/YYYY")&amp;" to minimum of YearEnd or "&amp;'P-Overview'!$B$46&amp;"."</f>
        <v>01/01/2026 to minimum of YearEnd or Start of construction.</v>
      </c>
    </row>
    <row r="31" spans="2:15" ht="21.75" customHeight="1">
      <c r="B31" s="981"/>
      <c r="C31" s="980"/>
      <c r="D31" s="980"/>
      <c r="E31" s="402"/>
      <c r="F31" s="403"/>
      <c r="G31" s="404"/>
      <c r="H31" s="405"/>
      <c r="I31" s="406"/>
      <c r="J31" s="407"/>
      <c r="K31" s="236"/>
      <c r="M31" s="240"/>
    </row>
    <row r="32" spans="2:15" ht="22.35" customHeight="1">
      <c r="B32" s="981"/>
      <c r="C32" s="980"/>
      <c r="D32" s="980"/>
      <c r="E32" s="409">
        <f ca="1">J30</f>
        <v>0</v>
      </c>
      <c r="F32" s="404">
        <f ca="1">MIN('P-Overview'!$C$46,G30+1)</f>
        <v>46388</v>
      </c>
      <c r="G32" s="404">
        <f ca="1">MIN(DATE(YEAR(F32),12,31),'P-Overview'!$C$46)</f>
        <v>46752</v>
      </c>
      <c r="H32" s="405">
        <f ca="1">SUM(G32-F32)/365</f>
        <v>0.99726027397260275</v>
      </c>
      <c r="I32" s="406">
        <f>'P-Overview'!$T$48</f>
        <v>0.04</v>
      </c>
      <c r="J32" s="410">
        <f ca="1">SUM(E32*(1+I32)^(H32))</f>
        <v>0</v>
      </c>
      <c r="K32" s="236"/>
      <c r="L32" s="29" t="str">
        <f ca="1">TEXT(F32,"MM/DD/YYYY")&amp;" to minimum of YearEnd or "&amp;'P-Overview'!$B$46&amp;"."</f>
        <v>01/01/2027 to minimum of YearEnd or Start of construction.</v>
      </c>
      <c r="M32" s="29" t="e">
        <f ca="1">J34/E30</f>
        <v>#DIV/0!</v>
      </c>
    </row>
    <row r="33" spans="2:15" ht="19.5" customHeight="1">
      <c r="B33" s="981"/>
      <c r="C33" s="980"/>
      <c r="D33" s="980"/>
      <c r="E33" s="402"/>
      <c r="F33" s="404"/>
      <c r="G33" s="404"/>
      <c r="H33" s="405"/>
      <c r="I33" s="406"/>
      <c r="J33" s="407"/>
      <c r="K33" s="236"/>
      <c r="M33" s="240"/>
    </row>
    <row r="34" spans="2:15" ht="22.35" customHeight="1" thickBot="1">
      <c r="B34" s="981"/>
      <c r="C34" s="980"/>
      <c r="D34" s="980"/>
      <c r="E34" s="411">
        <f ca="1">J32</f>
        <v>0</v>
      </c>
      <c r="F34" s="412">
        <f ca="1">MIN('P-Overview'!$C$46,G32+1)</f>
        <v>46753</v>
      </c>
      <c r="G34" s="412">
        <f>'P-Overview'!$C$46</f>
        <v>0</v>
      </c>
      <c r="H34" s="413">
        <f ca="1">SUM(G34-F34)/365</f>
        <v>-128.0904109589041</v>
      </c>
      <c r="I34" s="414">
        <f>'P-Overview'!$T$49</f>
        <v>3.5000000000000003E-2</v>
      </c>
      <c r="J34" s="415">
        <f ca="1">SUM(E34*(1+I34)^(H34))</f>
        <v>0</v>
      </c>
      <c r="K34" s="236"/>
      <c r="L34" s="29" t="str">
        <f ca="1">TEXT(F34,"MM/DD/YYYY")&amp;" to minimum of YearEnd or "&amp;'P-Overview'!$B$46&amp;"."</f>
        <v>01/01/2028 to minimum of YearEnd or Start of construction.</v>
      </c>
      <c r="M34" s="240"/>
    </row>
    <row r="35" spans="2:15" ht="22.15" customHeight="1" thickTop="1" thickBot="1">
      <c r="D35" s="783"/>
      <c r="E35" s="250"/>
      <c r="M35" s="240"/>
      <c r="O35" s="982" t="s">
        <v>561</v>
      </c>
    </row>
    <row r="36" spans="2:15" ht="22.15" customHeight="1">
      <c r="B36" s="977" t="str">
        <f>'P-Overview'!B29</f>
        <v>Furnishings &amp; Movable Equipment</v>
      </c>
      <c r="C36" s="975"/>
      <c r="D36" s="973" t="s">
        <v>562</v>
      </c>
      <c r="E36" s="418">
        <f>'P-Overview'!C29</f>
        <v>0</v>
      </c>
      <c r="F36" s="461">
        <f ca="1">$F$12</f>
        <v>46023</v>
      </c>
      <c r="G36" s="731" t="str" cm="1">
        <f t="array" aca="1" ref="G36" ca="1">IF('P-Overview'!$C$48="","Fill cell "&amp;RIGHT(CELL("address",'P-Overview'!C48),LEN(CELL("address",'P-Overview'!C48))-FIND("!",CELL("address",'P-Overview'!C48))),MIN(DATE(YEAR(F36),12,31),'P-Overview'!$C$48-$O$38))</f>
        <v>Fill cell $C$48</v>
      </c>
      <c r="H36" s="399" t="e">
        <f ca="1">SUM(G36-F36)/365</f>
        <v>#VALUE!</v>
      </c>
      <c r="I36" s="419">
        <f>'P-Overview'!$V$47</f>
        <v>7.0000000000000007E-2</v>
      </c>
      <c r="J36" s="401" t="e">
        <f ca="1">SUM(E36*(1+I36)^(H36))</f>
        <v>#VALUE!</v>
      </c>
      <c r="K36" s="236"/>
      <c r="L36" s="29" t="str">
        <f ca="1">TEXT(F36,"MM/DD/YYYY")&amp;" to minimum of YearEnd or "&amp;$O$38&amp;" days before "&amp;'P-Overview'!$B$48&amp;"."</f>
        <v>01/01/2026 to minimum of YearEnd or 90 days before End of Construction.</v>
      </c>
      <c r="M36" s="240"/>
      <c r="O36" s="983"/>
    </row>
    <row r="37" spans="2:15" ht="22.15" customHeight="1">
      <c r="B37" s="977"/>
      <c r="C37" s="975"/>
      <c r="D37" s="973"/>
      <c r="E37" s="420"/>
      <c r="F37" s="403"/>
      <c r="G37" s="403"/>
      <c r="H37" s="405"/>
      <c r="I37" s="421"/>
      <c r="J37" s="407"/>
      <c r="K37" s="236"/>
      <c r="L37" s="408"/>
      <c r="M37" s="240"/>
      <c r="O37" s="983"/>
    </row>
    <row r="38" spans="2:15" ht="22.15" customHeight="1" thickBot="1">
      <c r="B38" s="978"/>
      <c r="C38" s="976"/>
      <c r="D38" s="974"/>
      <c r="E38" s="409" t="e">
        <f ca="1">J36</f>
        <v>#VALUE!</v>
      </c>
      <c r="F38" s="404" t="e">
        <f ca="1">MIN('P-Overview'!$C$48-$O$38,G36+1)</f>
        <v>#VALUE!</v>
      </c>
      <c r="G38" s="404" t="e">
        <f ca="1">MIN(DATE(YEAR(F38),12,31),'P-Overview'!$C$48-$O$38)</f>
        <v>#VALUE!</v>
      </c>
      <c r="H38" s="405" t="e">
        <f ca="1">SUM(G38-F38)/365</f>
        <v>#VALUE!</v>
      </c>
      <c r="I38" s="421">
        <f>'P-Overview'!$V$48</f>
        <v>3.5000000000000003E-2</v>
      </c>
      <c r="J38" s="410" t="e">
        <f ca="1">SUM(E38*(1+I38)^(H38))</f>
        <v>#VALUE!</v>
      </c>
      <c r="K38" s="236"/>
      <c r="L38" s="29" t="e">
        <f ca="1">TEXT(F38,"MM/DD/YYYY")&amp;" to minimum of YearEnd or "&amp;$O$38&amp;" days before "&amp;'P-Overview'!$B$48&amp;"."</f>
        <v>#VALUE!</v>
      </c>
      <c r="M38" s="29" t="e">
        <f ca="1">J40/E36</f>
        <v>#VALUE!</v>
      </c>
      <c r="O38" s="475">
        <v>90</v>
      </c>
    </row>
    <row r="39" spans="2:15" ht="22.15" customHeight="1" thickTop="1">
      <c r="B39" s="974"/>
      <c r="C39" s="976"/>
      <c r="D39" s="974"/>
      <c r="E39" s="402"/>
      <c r="F39" s="403"/>
      <c r="G39" s="403"/>
      <c r="H39" s="405"/>
      <c r="I39" s="421"/>
      <c r="J39" s="407"/>
      <c r="K39" s="236"/>
      <c r="M39" s="240"/>
    </row>
    <row r="40" spans="2:15" ht="22.15" customHeight="1" thickBot="1">
      <c r="B40" s="974"/>
      <c r="C40" s="976"/>
      <c r="D40" s="974"/>
      <c r="E40" s="411" t="e">
        <f ca="1">J38</f>
        <v>#VALUE!</v>
      </c>
      <c r="F40" s="422" t="e">
        <f ca="1">MIN('P-Overview'!$C$48-$O$38,G38+1)</f>
        <v>#VALUE!</v>
      </c>
      <c r="G40" s="422" t="str">
        <f>IF('P-Overview'!$C$48="","",'P-Overview'!C48-$O$38)</f>
        <v/>
      </c>
      <c r="H40" s="413" t="e">
        <f ca="1">SUM(G40-F40)/365</f>
        <v>#VALUE!</v>
      </c>
      <c r="I40" s="423">
        <f>'P-Overview'!V49</f>
        <v>3.5000000000000003E-2</v>
      </c>
      <c r="J40" s="415" t="e">
        <f ca="1">SUM(E40*(1+I40)^(H40))</f>
        <v>#VALUE!</v>
      </c>
      <c r="K40" s="236"/>
      <c r="L40" s="29" t="e">
        <f ca="1">TEXT(F40,"MM/DD/YYYY")&amp;" to minimum of YearEnd or "&amp;$O$38&amp;" days before "&amp;'P-Overview'!$B$48&amp;"."</f>
        <v>#VALUE!</v>
      </c>
      <c r="M40" s="240"/>
    </row>
    <row r="41" spans="2:15" ht="22.15" customHeight="1" thickBot="1">
      <c r="D41" s="783"/>
      <c r="E41" s="250"/>
      <c r="M41" s="240"/>
    </row>
    <row r="42" spans="2:15" ht="22.15" customHeight="1">
      <c r="B42" s="964" t="str">
        <f>'P-Overview'!B30</f>
        <v>Construction Contingency</v>
      </c>
      <c r="C42" s="962"/>
      <c r="D42" s="979" t="s">
        <v>563</v>
      </c>
      <c r="E42" s="418">
        <f>IF('P-Overview'!C30="",0,'P-Overview'!C30)</f>
        <v>0</v>
      </c>
      <c r="F42" s="461">
        <f ca="1">$F$12</f>
        <v>46023</v>
      </c>
      <c r="G42" s="398">
        <f ca="1">MIN(DATE(YEAR(F42),12,31),'P-Overview'!$C$47)</f>
        <v>0</v>
      </c>
      <c r="H42" s="399">
        <f ca="1">SUM(G42-F42)/365</f>
        <v>-126.09041095890412</v>
      </c>
      <c r="I42" s="419">
        <f>'P-Overview'!$U$47</f>
        <v>7.4999999999999997E-2</v>
      </c>
      <c r="J42" s="401">
        <f ca="1">SUM(E42*(1+I42)^(H42))</f>
        <v>0</v>
      </c>
      <c r="K42" s="236"/>
      <c r="L42" s="29" t="str">
        <f ca="1">TEXT(F42,"MM/DD/YYYY")&amp;" to minimum of YearEnd or "&amp;'P-Overview'!$B$47&amp;"."</f>
        <v>01/01/2026 to minimum of YearEnd or Mid-Point of Construction.</v>
      </c>
      <c r="M42" s="240"/>
    </row>
    <row r="43" spans="2:15" ht="22.15" customHeight="1">
      <c r="B43" s="964"/>
      <c r="C43" s="962"/>
      <c r="D43" s="979"/>
      <c r="E43" s="420"/>
      <c r="F43" s="403"/>
      <c r="G43" s="403"/>
      <c r="H43" s="405"/>
      <c r="I43" s="421"/>
      <c r="J43" s="407"/>
      <c r="K43" s="236"/>
      <c r="L43" s="408"/>
      <c r="M43" s="240"/>
    </row>
    <row r="44" spans="2:15" ht="22.15" customHeight="1">
      <c r="B44" s="965"/>
      <c r="C44" s="963"/>
      <c r="D44" s="966"/>
      <c r="E44" s="409">
        <f ca="1">J42</f>
        <v>0</v>
      </c>
      <c r="F44" s="404">
        <f ca="1">MIN('P-Overview'!$C$47,G42+1)</f>
        <v>0</v>
      </c>
      <c r="G44" s="404">
        <f ca="1">MIN(DATE(YEAR(F44),12,31),'P-Overview'!$C$47)</f>
        <v>0</v>
      </c>
      <c r="H44" s="405">
        <f ca="1">SUM(G44-F44)/365</f>
        <v>0</v>
      </c>
      <c r="I44" s="421">
        <f>'P-Overview'!$U$48</f>
        <v>0.04</v>
      </c>
      <c r="J44" s="410">
        <f ca="1">SUM(E44*(1+I44)^(H44))</f>
        <v>0</v>
      </c>
      <c r="K44" s="236"/>
      <c r="L44" s="29" t="str">
        <f ca="1">TEXT(F44,"MM/DD/YYYY")&amp;" to minimum of YearEnd or "&amp;'P-Overview'!$B$47&amp;"."</f>
        <v>01/00/1900 to minimum of YearEnd or Mid-Point of Construction.</v>
      </c>
      <c r="M44" s="29" t="e">
        <f ca="1">J46/E42</f>
        <v>#DIV/0!</v>
      </c>
    </row>
    <row r="45" spans="2:15" ht="22.15" customHeight="1">
      <c r="B45" s="966"/>
      <c r="C45" s="963"/>
      <c r="D45" s="966"/>
      <c r="E45" s="402"/>
      <c r="F45" s="403"/>
      <c r="G45" s="403"/>
      <c r="H45" s="405"/>
      <c r="I45" s="421"/>
      <c r="J45" s="407"/>
      <c r="K45" s="236"/>
      <c r="M45" s="240"/>
    </row>
    <row r="46" spans="2:15" ht="22.15" customHeight="1" thickBot="1">
      <c r="B46" s="966"/>
      <c r="C46" s="963"/>
      <c r="D46" s="966"/>
      <c r="E46" s="411">
        <f ca="1">J44</f>
        <v>0</v>
      </c>
      <c r="F46" s="422">
        <f ca="1">MIN('P-Overview'!$C$47,G44+1)</f>
        <v>0</v>
      </c>
      <c r="G46" s="422">
        <f>'P-Overview'!$C$47</f>
        <v>0</v>
      </c>
      <c r="H46" s="413">
        <f ca="1">SUM(G46-F46)/365</f>
        <v>0</v>
      </c>
      <c r="I46" s="423">
        <f>'P-Overview'!$U$49</f>
        <v>3.5000000000000003E-2</v>
      </c>
      <c r="J46" s="415">
        <f ca="1">SUM(E46*(1+I46)^(H46))</f>
        <v>0</v>
      </c>
      <c r="K46" s="236"/>
      <c r="L46" s="29" t="str">
        <f ca="1">TEXT(F46,"MM/DD/YYYY")&amp;" to minimum of YearEnd or "&amp;'P-Overview'!$B$47&amp;"."</f>
        <v>01/00/1900 to minimum of YearEnd or Mid-Point of Construction.</v>
      </c>
      <c r="M46" s="240"/>
    </row>
    <row r="47" spans="2:15" ht="22.15" customHeight="1" thickBot="1">
      <c r="D47" s="783"/>
      <c r="E47" s="250"/>
      <c r="M47" s="240"/>
    </row>
    <row r="48" spans="2:15" ht="22.15" customHeight="1">
      <c r="B48" s="953" t="str">
        <f>'P-Overview'!B34</f>
        <v>Detailed Planning Phase</v>
      </c>
      <c r="C48" s="956"/>
      <c r="D48" s="958" t="s">
        <v>560</v>
      </c>
      <c r="E48" s="418">
        <f>'P-Overview'!C34</f>
        <v>0</v>
      </c>
      <c r="F48" s="397">
        <f ca="1">$F$12</f>
        <v>46023</v>
      </c>
      <c r="G48" s="398" t="str">
        <f ca="1">IF('P-Overview'!C46="","",MIN(DATE(YEAR(F48),12,31),AVERAGE('P-Overview'!$C$45,'P-Overview'!$C$46)))</f>
        <v/>
      </c>
      <c r="H48" s="399" t="str">
        <f ca="1">IF(G48="","",SUM(G48-F48)/365)</f>
        <v/>
      </c>
      <c r="I48" s="419">
        <f>'P-Overview'!$T$47</f>
        <v>0.04</v>
      </c>
      <c r="J48" s="732" t="str">
        <f ca="1">IF(G48="","",SUM(E48*(1+I48)^(H48)))</f>
        <v/>
      </c>
      <c r="K48" s="236"/>
      <c r="L48" s="29" t="str">
        <f ca="1">TEXT(F48,"MM/DD/YYYY")&amp;"  to minimum of YearEnd or half-way to start of construction."</f>
        <v>01/01/2026  to minimum of YearEnd or half-way to start of construction.</v>
      </c>
    </row>
    <row r="49" spans="2:13" ht="22.15" customHeight="1">
      <c r="B49" s="953"/>
      <c r="C49" s="956"/>
      <c r="D49" s="958"/>
      <c r="E49" s="420"/>
      <c r="F49" s="403"/>
      <c r="G49" s="403"/>
      <c r="H49" s="405"/>
      <c r="I49" s="421"/>
      <c r="J49" s="407"/>
      <c r="K49" s="236"/>
      <c r="L49" s="408"/>
      <c r="M49" s="240"/>
    </row>
    <row r="50" spans="2:13" ht="22.15" customHeight="1">
      <c r="B50" s="954"/>
      <c r="C50" s="957"/>
      <c r="D50" s="955"/>
      <c r="E50" s="409" t="str">
        <f ca="1">J48</f>
        <v/>
      </c>
      <c r="F50" s="403" t="e">
        <f ca="1">MIN(AVERAGE('P-Overview'!$C$45,'P-Overview'!$C$46),G48+1)</f>
        <v>#DIV/0!</v>
      </c>
      <c r="G50" s="404" t="str">
        <f ca="1">IF('P-Overview'!C48="","",MIN(DATE(YEAR(F50),12,31),AVERAGE('P-Overview'!$C$45,'P-Overview'!$C$46)))</f>
        <v/>
      </c>
      <c r="H50" s="405" t="e">
        <f ca="1">SUM(G50-F50)/365</f>
        <v>#VALUE!</v>
      </c>
      <c r="I50" s="421">
        <f>'P-Overview'!$T$48</f>
        <v>0.04</v>
      </c>
      <c r="J50" s="410" t="e">
        <f ca="1">SUM(E50*(1+I50)^(H50))</f>
        <v>#VALUE!</v>
      </c>
      <c r="K50" s="236"/>
      <c r="L50" s="29" t="e">
        <f ca="1">TEXT(F50,"MM/DD/YYYY")&amp;"  to minimum of YearEnd or half-way to start of construction."</f>
        <v>#DIV/0!</v>
      </c>
      <c r="M50" s="29" t="e">
        <f ca="1">J52/E48</f>
        <v>#VALUE!</v>
      </c>
    </row>
    <row r="51" spans="2:13" ht="22.15" customHeight="1">
      <c r="B51" s="955"/>
      <c r="C51" s="957"/>
      <c r="D51" s="955"/>
      <c r="E51" s="402"/>
      <c r="F51" s="403"/>
      <c r="G51" s="403"/>
      <c r="H51" s="405"/>
      <c r="I51" s="421"/>
      <c r="J51" s="407"/>
      <c r="K51" s="236"/>
      <c r="M51" s="240"/>
    </row>
    <row r="52" spans="2:13" ht="22.15" customHeight="1" thickBot="1">
      <c r="B52" s="955"/>
      <c r="C52" s="957"/>
      <c r="D52" s="955"/>
      <c r="E52" s="411" t="e">
        <f ca="1">J50</f>
        <v>#VALUE!</v>
      </c>
      <c r="F52" s="422" t="e">
        <f ca="1">MIN(AVERAGE('P-Overview'!C45,'P-Overview'!C46),G50+1)</f>
        <v>#DIV/0!</v>
      </c>
      <c r="G52" s="422" t="e">
        <f>AVERAGE('P-Overview'!$C$45,'P-Overview'!$C$46)</f>
        <v>#DIV/0!</v>
      </c>
      <c r="H52" s="413" t="e">
        <f ca="1">SUM(G52-F52)/365</f>
        <v>#DIV/0!</v>
      </c>
      <c r="I52" s="423">
        <f>'P-Overview'!$T$49</f>
        <v>3.5000000000000003E-2</v>
      </c>
      <c r="J52" s="415" t="e">
        <f ca="1">SUM(E52*(1+I52)^(H52))</f>
        <v>#VALUE!</v>
      </c>
      <c r="K52" s="236"/>
      <c r="L52" s="29" t="e">
        <f ca="1">TEXT(F52,"MM/DD/YYYY")&amp;"  to minimum of YearEnd or half-way to start of construction."</f>
        <v>#DIV/0!</v>
      </c>
      <c r="M52" s="240"/>
    </row>
    <row r="53" spans="2:13" ht="22.15" customHeight="1" thickBot="1">
      <c r="D53" s="783"/>
      <c r="E53" s="250"/>
      <c r="J53" s="417"/>
      <c r="M53" s="240"/>
    </row>
    <row r="54" spans="2:13" ht="22.15" customHeight="1">
      <c r="B54" s="953" t="str">
        <f>'P-Overview'!B36</f>
        <v>Total Planning to Bid Phase</v>
      </c>
      <c r="C54" s="956"/>
      <c r="D54" s="958" t="s">
        <v>118</v>
      </c>
      <c r="E54" s="418">
        <f>'P-Overview'!C36</f>
        <v>0</v>
      </c>
      <c r="F54" s="397">
        <f ca="1">$F$12</f>
        <v>46023</v>
      </c>
      <c r="G54" s="461">
        <f ca="1">MIN(DATE(YEAR(F54),12,31),'P-Overview'!$C$46)</f>
        <v>46387</v>
      </c>
      <c r="H54" s="399">
        <f ca="1">SUM(G54-F54)/365</f>
        <v>0.99726027397260275</v>
      </c>
      <c r="I54" s="419">
        <f>'P-Overview'!$T$47</f>
        <v>0.04</v>
      </c>
      <c r="J54" s="401">
        <f ca="1">SUM(E54*(1+I54)^(H54))</f>
        <v>0</v>
      </c>
      <c r="K54" s="236"/>
      <c r="L54" s="29" t="str">
        <f ca="1">TEXT(F54,"MM/DD/YYYY")&amp;" to minimum of YearEnd or "&amp;'P-Overview'!$B$46&amp;"."</f>
        <v>01/01/2026 to minimum of YearEnd or Start of construction.</v>
      </c>
    </row>
    <row r="55" spans="2:13" ht="22.15" customHeight="1">
      <c r="B55" s="953"/>
      <c r="C55" s="956"/>
      <c r="D55" s="958"/>
      <c r="E55" s="420"/>
      <c r="F55" s="403"/>
      <c r="G55" s="403"/>
      <c r="H55" s="405"/>
      <c r="I55" s="421"/>
      <c r="J55" s="407"/>
      <c r="K55" s="236"/>
      <c r="L55" s="408"/>
      <c r="M55" s="240"/>
    </row>
    <row r="56" spans="2:13" ht="22.15" customHeight="1">
      <c r="B56" s="954"/>
      <c r="C56" s="957"/>
      <c r="D56" s="955"/>
      <c r="E56" s="409">
        <f ca="1">J54</f>
        <v>0</v>
      </c>
      <c r="F56" s="403">
        <f ca="1">MIN('P-Overview'!$C$46,G54+1)</f>
        <v>46388</v>
      </c>
      <c r="G56" s="404">
        <f ca="1">MIN(DATE(YEAR(F56),12,31),'P-Overview'!$C$46)</f>
        <v>46752</v>
      </c>
      <c r="H56" s="405">
        <f ca="1">SUM(G56-F56)/365</f>
        <v>0.99726027397260275</v>
      </c>
      <c r="I56" s="421">
        <f>'P-Overview'!$T$48</f>
        <v>0.04</v>
      </c>
      <c r="J56" s="410">
        <f ca="1">SUM(E56*(1+I56)^(H56))</f>
        <v>0</v>
      </c>
      <c r="K56" s="236"/>
      <c r="L56" s="29" t="str">
        <f ca="1">TEXT(F56,"MM/DD/YYYY")&amp;" to minimum of YearEnd or "&amp;'P-Overview'!$B$46&amp;"."</f>
        <v>01/01/2027 to minimum of YearEnd or Start of construction.</v>
      </c>
      <c r="M56" s="29" t="e">
        <f ca="1">J58/E54</f>
        <v>#DIV/0!</v>
      </c>
    </row>
    <row r="57" spans="2:13" ht="22.15" customHeight="1">
      <c r="B57" s="955"/>
      <c r="C57" s="957"/>
      <c r="D57" s="955"/>
      <c r="E57" s="402"/>
      <c r="F57" s="403"/>
      <c r="G57" s="403"/>
      <c r="H57" s="405"/>
      <c r="I57" s="421"/>
      <c r="J57" s="407"/>
      <c r="K57" s="236"/>
      <c r="M57" s="240"/>
    </row>
    <row r="58" spans="2:13" ht="22.15" customHeight="1" thickBot="1">
      <c r="B58" s="955"/>
      <c r="C58" s="957"/>
      <c r="D58" s="955"/>
      <c r="E58" s="411">
        <f ca="1">J56</f>
        <v>0</v>
      </c>
      <c r="F58" s="422">
        <f ca="1">MIN('P-Overview'!$C$46,G56+1)</f>
        <v>46753</v>
      </c>
      <c r="G58" s="422">
        <f>'P-Overview'!$C$46</f>
        <v>0</v>
      </c>
      <c r="H58" s="413">
        <f ca="1">SUM(G58-F58)/365</f>
        <v>-128.0904109589041</v>
      </c>
      <c r="I58" s="423">
        <f>'P-Overview'!$T$49</f>
        <v>3.5000000000000003E-2</v>
      </c>
      <c r="J58" s="415">
        <f ca="1">SUM(E58*(1+I58)^(H58))</f>
        <v>0</v>
      </c>
      <c r="K58" s="236"/>
      <c r="L58" s="29" t="str">
        <f ca="1">TEXT(F58,"MM/DD/YYYY")&amp;" to minimum of YearEnd or "&amp;'P-Overview'!$B$46&amp;"."</f>
        <v>01/01/2028 to minimum of YearEnd or Start of construction.</v>
      </c>
      <c r="M58" s="240"/>
    </row>
    <row r="59" spans="2:13" ht="22.15" customHeight="1">
      <c r="D59" s="783"/>
      <c r="E59" s="250"/>
      <c r="M59" s="240"/>
    </row>
    <row r="60" spans="2:13">
      <c r="D60" s="783"/>
      <c r="E60" s="250"/>
      <c r="M60" s="240"/>
    </row>
    <row r="61" spans="2:13">
      <c r="D61" s="783"/>
      <c r="E61" s="250"/>
      <c r="G61" s="404"/>
      <c r="J61" s="472"/>
    </row>
    <row r="62" spans="2:13">
      <c r="D62" s="783"/>
      <c r="E62" s="250"/>
      <c r="J62" s="472"/>
    </row>
    <row r="63" spans="2:13">
      <c r="D63" s="783"/>
      <c r="E63" s="250"/>
    </row>
    <row r="64" spans="2:13">
      <c r="D64" s="783"/>
      <c r="E64" s="250"/>
    </row>
    <row r="65" spans="5:5">
      <c r="E65" s="250"/>
    </row>
  </sheetData>
  <sheetProtection algorithmName="SHA-512" hashValue="836cR0cwKpdhYMZ7Bdc1EjWfyuKmD6V9yVg2Z0RDbyYKFRFZM39aCnRcaiQAX8p2XfcTF9nDjEnKIob/J6+g8A==" saltValue="yeyNzVD7SHvF2iAc+9DIMA==" spinCount="100000" sheet="1" autoFilter="0"/>
  <mergeCells count="28">
    <mergeCell ref="O35:O37"/>
    <mergeCell ref="D48:D52"/>
    <mergeCell ref="C24:C28"/>
    <mergeCell ref="D24:D28"/>
    <mergeCell ref="B30:B34"/>
    <mergeCell ref="C30:C34"/>
    <mergeCell ref="D30:D34"/>
    <mergeCell ref="C18:C22"/>
    <mergeCell ref="B18:B22"/>
    <mergeCell ref="B24:B28"/>
    <mergeCell ref="B48:B52"/>
    <mergeCell ref="C48:C52"/>
    <mergeCell ref="B54:B58"/>
    <mergeCell ref="C54:C58"/>
    <mergeCell ref="D54:D58"/>
    <mergeCell ref="B4:D4"/>
    <mergeCell ref="B6:D6"/>
    <mergeCell ref="B8:D8"/>
    <mergeCell ref="C42:C46"/>
    <mergeCell ref="B42:B46"/>
    <mergeCell ref="D12:D16"/>
    <mergeCell ref="B12:B16"/>
    <mergeCell ref="C12:C16"/>
    <mergeCell ref="D36:D40"/>
    <mergeCell ref="C36:C40"/>
    <mergeCell ref="B36:B40"/>
    <mergeCell ref="D42:D46"/>
    <mergeCell ref="D18:D22"/>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9FF1-00B4-4195-97E6-2937C43576EB}">
  <sheetPr codeName="Sheet14">
    <tabColor rgb="FFCC66FF"/>
  </sheetPr>
  <dimension ref="B1:Y19"/>
  <sheetViews>
    <sheetView showGridLines="0" workbookViewId="0">
      <selection activeCell="H5" sqref="H5"/>
    </sheetView>
  </sheetViews>
  <sheetFormatPr defaultColWidth="9.140625" defaultRowHeight="12.75" outlineLevelCol="1"/>
  <cols>
    <col min="1" max="1" width="5.85546875" style="12" customWidth="1"/>
    <col min="2" max="2" width="7.7109375" style="12" customWidth="1"/>
    <col min="3" max="3" width="38.42578125" style="12" hidden="1" customWidth="1" outlineLevel="1"/>
    <col min="4" max="4" width="14.5703125" style="12" customWidth="1" collapsed="1"/>
    <col min="5" max="23" width="14.5703125" style="12" customWidth="1"/>
    <col min="24" max="24" width="14.5703125" style="12" bestFit="1" customWidth="1"/>
    <col min="25" max="16384" width="9.140625" style="12"/>
  </cols>
  <sheetData>
    <row r="1" spans="2:25">
      <c r="B1" s="378" t="s">
        <v>564</v>
      </c>
      <c r="C1" s="797"/>
      <c r="D1" s="797"/>
      <c r="E1" s="797"/>
      <c r="F1" s="797"/>
      <c r="G1" s="797"/>
      <c r="H1" s="797"/>
      <c r="I1" s="797"/>
      <c r="J1" s="797"/>
      <c r="K1" s="797"/>
      <c r="L1" s="797"/>
      <c r="M1" s="797"/>
      <c r="N1" s="797"/>
      <c r="O1" s="797"/>
      <c r="P1" s="797"/>
      <c r="Q1" s="797"/>
      <c r="R1" s="797"/>
      <c r="S1" s="797"/>
      <c r="T1" s="797"/>
      <c r="U1" s="797"/>
      <c r="V1" s="797"/>
      <c r="W1" s="797"/>
      <c r="X1" s="797"/>
      <c r="Y1" s="797"/>
    </row>
    <row r="2" spans="2:25">
      <c r="B2" s="797"/>
      <c r="C2" s="797"/>
      <c r="D2" s="797">
        <f ca="1">tbl_VBCCDBldgTypes2024[[#Totals],[CLASSROOM BUILDINGS]]</f>
        <v>4</v>
      </c>
      <c r="E2" s="797">
        <f ca="1">tbl_VBCCDBldgTypes2024[[#Totals],[COURTS]]</f>
        <v>1</v>
      </c>
      <c r="F2" s="797"/>
      <c r="G2" s="797">
        <f ca="1">tbl_VBCCDBldgTypes2024[[#Totals],[DORMITORY]]</f>
        <v>3</v>
      </c>
      <c r="H2" s="797">
        <f ca="1">tbl_VBCCDBldgTypes2024[[#Totals],[FOOD ]]</f>
        <v>3</v>
      </c>
      <c r="I2" s="797">
        <f ca="1">tbl_VBCCDBldgTypes2024[[#Totals],[GYM-PHYS-ED BUILDINGS]]</f>
        <v>2</v>
      </c>
      <c r="J2" s="797">
        <f ca="1">tbl_VBCCDBldgTypes2024[[#Totals],[DRY LABS Physics Buildings, Engineering Buildings]]</f>
        <v>7</v>
      </c>
      <c r="K2" s="797">
        <f ca="1">tbl_VBCCDBldgTypes2024[[#Totals],[WET LABS Chemistry Buildings, Biology Buildings]]</f>
        <v>3</v>
      </c>
      <c r="L2" s="797">
        <f ca="1">tbl_VBCCDBldgTypes2024[[#Totals],[RESEARCH LABS]]</f>
        <v>3</v>
      </c>
      <c r="M2" s="797">
        <f ca="1">tbl_VBCCDBldgTypes2024[[#Totals],[LIBRARIES]]</f>
        <v>3</v>
      </c>
      <c r="N2" s="797">
        <f ca="1">tbl_VBCCDBldgTypes2024[[#Totals],[MEDICAL]]</f>
        <v>4</v>
      </c>
      <c r="O2" s="797">
        <f ca="1">tbl_VBCCDBldgTypes2024[[#Totals],[MULTIPURPOSE BUILDINGS]]</f>
        <v>2</v>
      </c>
      <c r="P2" s="797">
        <f ca="1">tbl_VBCCDBldgTypes2024[[#Totals],[MUSEUMS]]</f>
        <v>3</v>
      </c>
      <c r="Q2" s="797">
        <f ca="1">tbl_VBCCDBldgTypes2024[[#Totals],[OFFICE BUILDINGS]]</f>
        <v>7</v>
      </c>
      <c r="R2" s="797">
        <f ca="1">tbl_VBCCDBldgTypes2024[[#Totals],[PARKING]]</f>
        <v>1</v>
      </c>
      <c r="S2" s="797">
        <f ca="1">tbl_VBCCDBldgTypes2024[[#Totals],[PARKING STRUCTURE]]</f>
        <v>1</v>
      </c>
      <c r="T2" s="797">
        <f ca="1">tbl_VBCCDBldgTypes2024[[#Totals],[ROOFING]]</f>
        <v>1</v>
      </c>
      <c r="U2" s="797">
        <f ca="1">tbl_VBCCDBldgTypes2024[[#Totals],[STUDENT CENTERS]]</f>
        <v>2</v>
      </c>
      <c r="V2" s="797">
        <f ca="1">tbl_VBCCDBldgTypes2024[[#Totals],[THEATERS]]</f>
        <v>6</v>
      </c>
      <c r="W2" s="797">
        <f ca="1">tbl_VBCCDBldgTypes2024[[#Totals],[Other]]</f>
        <v>12</v>
      </c>
      <c r="X2" s="797">
        <f ca="1">tbl_VBCCDBldgTypes2024[[#Totals],[UNIVERSITY WELCOME CENTERS]]</f>
        <v>1</v>
      </c>
      <c r="Y2" s="797"/>
    </row>
    <row r="3" spans="2:25" ht="65.25" customHeight="1">
      <c r="B3" s="270" t="s">
        <v>565</v>
      </c>
      <c r="C3" s="270" t="s">
        <v>566</v>
      </c>
      <c r="D3" s="270" t="s">
        <v>567</v>
      </c>
      <c r="E3" s="268" t="s">
        <v>568</v>
      </c>
      <c r="F3" s="268" t="s">
        <v>569</v>
      </c>
      <c r="G3" s="268" t="s">
        <v>570</v>
      </c>
      <c r="H3" s="268" t="s">
        <v>137</v>
      </c>
      <c r="I3" s="268" t="s">
        <v>571</v>
      </c>
      <c r="J3" s="268" t="s">
        <v>572</v>
      </c>
      <c r="K3" s="268" t="s">
        <v>573</v>
      </c>
      <c r="L3" s="268" t="s">
        <v>574</v>
      </c>
      <c r="M3" s="268" t="s">
        <v>575</v>
      </c>
      <c r="N3" s="268" t="s">
        <v>576</v>
      </c>
      <c r="O3" s="268" t="s">
        <v>577</v>
      </c>
      <c r="P3" s="268" t="s">
        <v>578</v>
      </c>
      <c r="Q3" s="268" t="s">
        <v>579</v>
      </c>
      <c r="R3" s="268" t="s">
        <v>580</v>
      </c>
      <c r="S3" s="268" t="s">
        <v>581</v>
      </c>
      <c r="T3" s="268" t="s">
        <v>226</v>
      </c>
      <c r="U3" s="268" t="s">
        <v>242</v>
      </c>
      <c r="V3" s="268" t="s">
        <v>582</v>
      </c>
      <c r="W3" s="268" t="s">
        <v>583</v>
      </c>
      <c r="X3" s="270" t="s">
        <v>584</v>
      </c>
      <c r="Y3" s="268" t="s">
        <v>585</v>
      </c>
    </row>
    <row r="4" spans="2:25" ht="153.75" customHeight="1">
      <c r="B4" s="268">
        <f ca="1">IF(tbl_VBCCDBldgTypes2024[[#This Row],[Concatenate]]="","",ROW()-ROW(tbl_VBCCDBldgTypes2024[[#Headers],['#]]))</f>
        <v>1</v>
      </c>
      <c r="C4" s="268" t="str">
        <f ca="1">_xlfn.TEXTJOIN(",",TRUE,OFFSET(tbl_VBCCDBldgTypes2024[[#This Row],['#]],0,COLUMN(tbl_VBCCDBldgTypes2024[[#This Row],[Concatenate]])-COLUMN(tbl_VBCCDBldgTypes2024[[#This Row],['#]])+1):OFFSET(tbl_VBCCDBldgTypes2024[[#This Row],['#]],0,COUNTA(tbl_VBCCDBldgTypes2024[#Headers])-1))</f>
        <v>Chiller Plants - Equipment Only,New Classroom Buildings,New Correctional Facilities,Ren Court,New Dormitory,New Dining Hall,New Gymnasium,New Dry Lab - L,New Wet Lab - M,Research Labs,New Library,New Mental Health Facility,New Multipurpose Center,New Museum,New Office Building,New Parking (surface lots),New Parking Structure,Roof Replacement,New Student Centers,New Theater,Shooting Range,Visitor's Centers</v>
      </c>
      <c r="D4" s="268" t="s">
        <v>586</v>
      </c>
      <c r="E4" s="761" t="s">
        <v>587</v>
      </c>
      <c r="F4" s="761" t="s">
        <v>588</v>
      </c>
      <c r="G4" s="761" t="s">
        <v>589</v>
      </c>
      <c r="H4" s="269" t="s">
        <v>590</v>
      </c>
      <c r="I4" s="761" t="s">
        <v>591</v>
      </c>
      <c r="J4" s="761" t="s">
        <v>592</v>
      </c>
      <c r="K4" s="761" t="s">
        <v>593</v>
      </c>
      <c r="L4" s="761" t="s">
        <v>594</v>
      </c>
      <c r="M4" s="761" t="s">
        <v>595</v>
      </c>
      <c r="N4" s="761" t="s">
        <v>596</v>
      </c>
      <c r="O4" s="761" t="s">
        <v>597</v>
      </c>
      <c r="P4" s="761" t="s">
        <v>598</v>
      </c>
      <c r="Q4" s="761" t="s">
        <v>599</v>
      </c>
      <c r="R4" s="761" t="s">
        <v>600</v>
      </c>
      <c r="S4" s="761" t="s">
        <v>601</v>
      </c>
      <c r="T4" s="761" t="s">
        <v>602</v>
      </c>
      <c r="U4" s="761" t="s">
        <v>603</v>
      </c>
      <c r="V4" s="761" t="s">
        <v>604</v>
      </c>
      <c r="W4" s="761" t="s">
        <v>605</v>
      </c>
      <c r="X4" s="761" t="s">
        <v>606</v>
      </c>
      <c r="Y4" s="761" t="s">
        <v>607</v>
      </c>
    </row>
    <row r="5" spans="2:25" ht="114.75">
      <c r="B5" s="268">
        <f ca="1">IF(tbl_VBCCDBldgTypes2024[[#This Row],[Concatenate]]="","",ROW()-ROW(tbl_VBCCDBldgTypes2024[[#Headers],['#]]))</f>
        <v>2</v>
      </c>
      <c r="C5" s="268" t="str">
        <f ca="1">_xlfn.TEXTJOIN(",",TRUE,OFFSET(tbl_VBCCDBldgTypes2024[[#This Row],['#]],0,COLUMN(tbl_VBCCDBldgTypes2024[[#This Row],[Concatenate]])-COLUMN(tbl_VBCCDBldgTypes2024[[#This Row],['#]])+1):OFFSET(tbl_VBCCDBldgTypes2024[[#This Row],['#]],0,COUNTA(tbl_VBCCDBldgTypes2024[#Headers])-1))</f>
        <v>Chiller Plants - incl. Building,Renovate Classroom Buildings - M,Renovate Dormitory - L,Renovate Dining Hall,Renovate Gymnasium,New Dry Lab - M,New Wet Lab - H,Research Lab Additions,Ren Libraries - M,New Mental Health Clinic,New Community Hospital,Ren. Museum,New Small Office Addition,Ren Student Centers,Ren. Theater - L,Oyster Hatcheries</v>
      </c>
      <c r="D5" s="268" t="s">
        <v>608</v>
      </c>
      <c r="E5" s="761" t="s">
        <v>609</v>
      </c>
      <c r="F5" s="761"/>
      <c r="G5" s="761"/>
      <c r="H5" s="761" t="s">
        <v>610</v>
      </c>
      <c r="I5" s="761" t="s">
        <v>611</v>
      </c>
      <c r="J5" s="761" t="s">
        <v>612</v>
      </c>
      <c r="K5" s="761" t="s">
        <v>613</v>
      </c>
      <c r="L5" s="761" t="s">
        <v>614</v>
      </c>
      <c r="M5" s="761" t="s">
        <v>615</v>
      </c>
      <c r="N5" s="761" t="s">
        <v>616</v>
      </c>
      <c r="O5" s="761" t="s">
        <v>617</v>
      </c>
      <c r="P5" s="761" t="s">
        <v>618</v>
      </c>
      <c r="Q5" s="761" t="s">
        <v>619</v>
      </c>
      <c r="R5" s="761" t="s">
        <v>620</v>
      </c>
      <c r="S5" s="761"/>
      <c r="T5" s="761"/>
      <c r="U5" s="761"/>
      <c r="V5" s="761" t="s">
        <v>621</v>
      </c>
      <c r="W5" s="761" t="s">
        <v>622</v>
      </c>
      <c r="X5" s="761" t="s">
        <v>623</v>
      </c>
      <c r="Y5" s="761"/>
    </row>
    <row r="6" spans="2:25" ht="89.25">
      <c r="B6" s="268">
        <f ca="1">IF(tbl_VBCCDBldgTypes2024[[#This Row],[Concatenate]]="","",ROW()-ROW(tbl_VBCCDBldgTypes2024[[#Headers],['#]]))</f>
        <v>3</v>
      </c>
      <c r="C6" s="268" t="str">
        <f ca="1">_xlfn.TEXTJOIN(",",TRUE,OFFSET(tbl_VBCCDBldgTypes2024[[#This Row],['#]],0,COLUMN(tbl_VBCCDBldgTypes2024[[#This Row],[Concatenate]])-COLUMN(tbl_VBCCDBldgTypes2024[[#This Row],['#]])+1):OFFSET(tbl_VBCCDBldgTypes2024[[#This Row],['#]],0,COUNTA(tbl_VBCCDBldgTypes2024[#Headers])-1))</f>
        <v>HVAC,Renovate Classroom Buildings - H,Renovate Dormitory - Historic,New Restaurant,New Dry Lab - H,Renovate Wet Lab - H,Research Lab Renovations - H,Ren.-Add Library,New Clinic,Museum - Replicas,New/Ren Office 50-50,Ren. Theater - M,New Police Station</v>
      </c>
      <c r="D6" s="268" t="s">
        <v>188</v>
      </c>
      <c r="E6" s="761" t="s">
        <v>624</v>
      </c>
      <c r="F6" s="761"/>
      <c r="G6" s="761"/>
      <c r="H6" s="761" t="s">
        <v>625</v>
      </c>
      <c r="I6" s="761" t="s">
        <v>626</v>
      </c>
      <c r="J6" s="761"/>
      <c r="K6" s="761" t="s">
        <v>627</v>
      </c>
      <c r="L6" s="761" t="s">
        <v>628</v>
      </c>
      <c r="M6" s="761" t="s">
        <v>629</v>
      </c>
      <c r="N6" s="761" t="s">
        <v>630</v>
      </c>
      <c r="O6" s="761" t="s">
        <v>631</v>
      </c>
      <c r="P6" s="761"/>
      <c r="Q6" s="761" t="s">
        <v>632</v>
      </c>
      <c r="R6" s="761" t="s">
        <v>633</v>
      </c>
      <c r="S6" s="761"/>
      <c r="T6" s="761"/>
      <c r="U6" s="761"/>
      <c r="V6" s="761"/>
      <c r="W6" s="761" t="s">
        <v>634</v>
      </c>
      <c r="X6" s="761" t="s">
        <v>635</v>
      </c>
      <c r="Y6" s="761"/>
    </row>
    <row r="7" spans="2:25" ht="51">
      <c r="B7" s="268">
        <f ca="1">IF(tbl_VBCCDBldgTypes2024[[#This Row],[Concatenate]]="","",ROW()-ROW(tbl_VBCCDBldgTypes2024[[#Headers],['#]]))</f>
        <v>4</v>
      </c>
      <c r="C7" s="268" t="str">
        <f ca="1">_xlfn.TEXTJOIN(",",TRUE,OFFSET(tbl_VBCCDBldgTypes2024[[#This Row],['#]],0,COLUMN(tbl_VBCCDBldgTypes2024[[#This Row],[Concatenate]])-COLUMN(tbl_VBCCDBldgTypes2024[[#This Row],['#]])+1):OFFSET(tbl_VBCCDBldgTypes2024[[#This Row],['#]],0,COUNTA(tbl_VBCCDBldgTypes2024[#Headers])-1))</f>
        <v>Renovate Classroom Buildings - Historic,New Dry Lab - Automotive,Ren Medical,Ren. Office - L,Ren. Theater - H,Ranger Residence (St. Park)</v>
      </c>
      <c r="D7" s="268"/>
      <c r="E7" s="761" t="s">
        <v>636</v>
      </c>
      <c r="F7" s="761"/>
      <c r="G7" s="761"/>
      <c r="H7" s="269"/>
      <c r="I7" s="761"/>
      <c r="J7" s="761"/>
      <c r="K7" s="761" t="s">
        <v>637</v>
      </c>
      <c r="L7" s="761"/>
      <c r="M7" s="761"/>
      <c r="N7" s="761"/>
      <c r="O7" s="761" t="s">
        <v>638</v>
      </c>
      <c r="P7" s="761"/>
      <c r="Q7" s="761"/>
      <c r="R7" s="761" t="s">
        <v>639</v>
      </c>
      <c r="S7" s="761"/>
      <c r="T7" s="761"/>
      <c r="U7" s="761"/>
      <c r="V7" s="761"/>
      <c r="W7" s="761" t="s">
        <v>640</v>
      </c>
      <c r="X7" s="761" t="s">
        <v>641</v>
      </c>
      <c r="Y7" s="761"/>
    </row>
    <row r="8" spans="2:25" ht="38.25">
      <c r="B8" s="268">
        <f ca="1">IF(tbl_VBCCDBldgTypes2024[[#This Row],[Concatenate]]="","",ROW()-ROW(tbl_VBCCDBldgTypes2024[[#Headers],['#]]))</f>
        <v>5</v>
      </c>
      <c r="C8" s="268" t="str">
        <f ca="1">_xlfn.TEXTJOIN(",",TRUE,OFFSET(tbl_VBCCDBldgTypes2024[[#This Row],['#]],0,COLUMN(tbl_VBCCDBldgTypes2024[[#This Row],[Concatenate]])-COLUMN(tbl_VBCCDBldgTypes2024[[#This Row],['#]])+1):OFFSET(tbl_VBCCDBldgTypes2024[[#This Row],['#]],0,COUNTA(tbl_VBCCDBldgTypes2024[#Headers])-1))</f>
        <v>Ren. Dry Lab - L,Ren. Office - M,Fine Arts Center,New Cabin Complex (St. Park)</v>
      </c>
      <c r="D8" s="268"/>
      <c r="E8" s="761"/>
      <c r="F8" s="761"/>
      <c r="G8" s="761"/>
      <c r="H8" s="761"/>
      <c r="I8" s="761"/>
      <c r="J8" s="761"/>
      <c r="K8" s="761" t="s">
        <v>642</v>
      </c>
      <c r="L8" s="761"/>
      <c r="M8" s="761"/>
      <c r="N8" s="761"/>
      <c r="O8" s="761"/>
      <c r="P8" s="761"/>
      <c r="Q8" s="761"/>
      <c r="R8" s="761" t="s">
        <v>643</v>
      </c>
      <c r="S8" s="761"/>
      <c r="T8" s="761"/>
      <c r="U8" s="761"/>
      <c r="V8" s="761"/>
      <c r="W8" s="761" t="s">
        <v>644</v>
      </c>
      <c r="X8" s="761" t="s">
        <v>645</v>
      </c>
      <c r="Y8" s="761"/>
    </row>
    <row r="9" spans="2:25" ht="38.25">
      <c r="B9" s="268">
        <f ca="1">IF(tbl_VBCCDBldgTypes2024[[#This Row],[Concatenate]]="","",ROW()-ROW(tbl_VBCCDBldgTypes2024[[#Headers],['#]]))</f>
        <v>6</v>
      </c>
      <c r="C9" s="268" t="str">
        <f ca="1">_xlfn.TEXTJOIN(",",TRUE,OFFSET(tbl_VBCCDBldgTypes2024[[#This Row],['#]],0,COLUMN(tbl_VBCCDBldgTypes2024[[#This Row],[Concatenate]])-COLUMN(tbl_VBCCDBldgTypes2024[[#This Row],['#]])+1):OFFSET(tbl_VBCCDBldgTypes2024[[#This Row],['#]],0,COUNTA(tbl_VBCCDBldgTypes2024[#Headers])-1))</f>
        <v>Ren. Dry Lab - M,Ren. Office - H,Performing Arts Center,Reno. -Cabin Complex (St. Park)</v>
      </c>
      <c r="D9" s="268"/>
      <c r="E9" s="761"/>
      <c r="F9" s="761"/>
      <c r="G9" s="761"/>
      <c r="H9" s="761"/>
      <c r="I9" s="761"/>
      <c r="J9" s="761"/>
      <c r="K9" s="761" t="s">
        <v>646</v>
      </c>
      <c r="L9" s="761"/>
      <c r="M9" s="761"/>
      <c r="N9" s="761"/>
      <c r="O9" s="761"/>
      <c r="P9" s="761"/>
      <c r="Q9" s="761"/>
      <c r="R9" s="761" t="s">
        <v>647</v>
      </c>
      <c r="S9" s="761"/>
      <c r="T9" s="761"/>
      <c r="U9" s="761"/>
      <c r="V9" s="761"/>
      <c r="W9" s="761" t="s">
        <v>648</v>
      </c>
      <c r="X9" s="761" t="s">
        <v>649</v>
      </c>
      <c r="Y9" s="761"/>
    </row>
    <row r="10" spans="2:25" ht="25.5">
      <c r="B10" s="268">
        <f ca="1">IF(tbl_VBCCDBldgTypes2024[[#This Row],[Concatenate]]="","",ROW()-ROW(tbl_VBCCDBldgTypes2024[[#Headers],['#]]))</f>
        <v>7</v>
      </c>
      <c r="C10" s="268" t="str">
        <f ca="1">_xlfn.TEXTJOIN(",",TRUE,OFFSET(tbl_VBCCDBldgTypes2024[[#This Row],['#]],0,COLUMN(tbl_VBCCDBldgTypes2024[[#This Row],[Concatenate]])-COLUMN(tbl_VBCCDBldgTypes2024[[#This Row],['#]])+1):OFFSET(tbl_VBCCDBldgTypes2024[[#This Row],['#]],0,COUNTA(tbl_VBCCDBldgTypes2024[#Headers])-1))</f>
        <v>Ren. Dry Lab - H,Office Tenant Upfit - M,Bathhouse (St. Park)</v>
      </c>
      <c r="D10" s="268"/>
      <c r="E10" s="761"/>
      <c r="F10" s="761"/>
      <c r="G10" s="761"/>
      <c r="H10" s="761"/>
      <c r="I10" s="761"/>
      <c r="J10" s="761"/>
      <c r="K10" s="761" t="s">
        <v>650</v>
      </c>
      <c r="L10" s="761"/>
      <c r="M10" s="761"/>
      <c r="N10" s="761"/>
      <c r="O10" s="761"/>
      <c r="P10" s="761"/>
      <c r="Q10" s="761"/>
      <c r="R10" s="761" t="s">
        <v>651</v>
      </c>
      <c r="S10" s="761"/>
      <c r="T10" s="761"/>
      <c r="U10" s="761"/>
      <c r="V10" s="761"/>
      <c r="W10" s="761"/>
      <c r="X10" s="761" t="s">
        <v>652</v>
      </c>
      <c r="Y10" s="761"/>
    </row>
    <row r="11" spans="2:25" ht="25.5">
      <c r="B11" s="268">
        <f ca="1">IF(tbl_VBCCDBldgTypes2024[[#This Row],[Concatenate]]="","",ROW()-ROW(tbl_VBCCDBldgTypes2024[[#Headers],['#]]))</f>
        <v>8</v>
      </c>
      <c r="C11" s="268" t="str">
        <f ca="1">_xlfn.TEXTJOIN(",",TRUE,OFFSET(tbl_VBCCDBldgTypes2024[[#This Row],['#]],0,COLUMN(tbl_VBCCDBldgTypes2024[[#This Row],[Concatenate]])-COLUMN(tbl_VBCCDBldgTypes2024[[#This Row],['#]])+1):OFFSET(tbl_VBCCDBldgTypes2024[[#This Row],['#]],0,COUNTA(tbl_VBCCDBldgTypes2024[#Headers])-1))</f>
        <v>New Vocational Labs</v>
      </c>
      <c r="D11" s="268"/>
      <c r="E11" s="761"/>
      <c r="F11" s="761"/>
      <c r="G11" s="761"/>
      <c r="H11" s="761"/>
      <c r="I11" s="761"/>
      <c r="J11" s="761"/>
      <c r="K11" s="761"/>
      <c r="L11" s="761"/>
      <c r="M11" s="761"/>
      <c r="N11" s="761"/>
      <c r="O11" s="761"/>
      <c r="P11" s="761"/>
      <c r="Q11" s="761"/>
      <c r="R11" s="761"/>
      <c r="S11" s="761"/>
      <c r="T11" s="761"/>
      <c r="U11" s="761"/>
      <c r="V11" s="761"/>
      <c r="W11" s="761"/>
      <c r="X11" s="761" t="s">
        <v>653</v>
      </c>
      <c r="Y11" s="761"/>
    </row>
    <row r="12" spans="2:25" ht="25.5">
      <c r="B12" s="268">
        <f ca="1">IF(tbl_VBCCDBldgTypes2024[[#This Row],[Concatenate]]="","",ROW()-ROW(tbl_VBCCDBldgTypes2024[[#Headers],['#]]))</f>
        <v>9</v>
      </c>
      <c r="C12" s="268" t="str">
        <f ca="1">_xlfn.TEXTJOIN(",",TRUE,OFFSET(tbl_VBCCDBldgTypes2024[[#This Row],['#]],0,COLUMN(tbl_VBCCDBldgTypes2024[[#This Row],[Concatenate]])-COLUMN(tbl_VBCCDBldgTypes2024[[#This Row],['#]])+1):OFFSET(tbl_VBCCDBldgTypes2024[[#This Row],['#]],0,COUNTA(tbl_VBCCDBldgTypes2024[#Headers])-1))</f>
        <v>New Vocational Labs</v>
      </c>
      <c r="D12" s="268"/>
      <c r="E12" s="761"/>
      <c r="F12" s="761"/>
      <c r="G12" s="761"/>
      <c r="H12" s="761"/>
      <c r="I12" s="761"/>
      <c r="J12" s="761"/>
      <c r="K12" s="761"/>
      <c r="L12" s="761"/>
      <c r="M12" s="761"/>
      <c r="N12" s="761"/>
      <c r="O12" s="761"/>
      <c r="P12" s="761"/>
      <c r="Q12" s="761"/>
      <c r="R12" s="761"/>
      <c r="S12" s="761"/>
      <c r="T12" s="761"/>
      <c r="U12" s="761"/>
      <c r="V12" s="761"/>
      <c r="W12" s="761"/>
      <c r="X12" s="761" t="s">
        <v>653</v>
      </c>
      <c r="Y12" s="761"/>
    </row>
    <row r="13" spans="2:25" ht="25.5">
      <c r="B13" s="268">
        <f ca="1">IF(tbl_VBCCDBldgTypes2024[[#This Row],[Concatenate]]="","",ROW()-ROW(tbl_VBCCDBldgTypes2024[[#Headers],['#]]))</f>
        <v>10</v>
      </c>
      <c r="C13" s="268" t="str">
        <f ca="1">_xlfn.TEXTJOIN(",",TRUE,OFFSET(tbl_VBCCDBldgTypes2024[[#This Row],['#]],0,COLUMN(tbl_VBCCDBldgTypes2024[[#This Row],[Concatenate]])-COLUMN(tbl_VBCCDBldgTypes2024[[#This Row],['#]])+1):OFFSET(tbl_VBCCDBldgTypes2024[[#This Row],['#]],0,COUNTA(tbl_VBCCDBldgTypes2024[#Headers])-1))</f>
        <v>Maintenance Buildings</v>
      </c>
      <c r="D13" s="268"/>
      <c r="E13" s="761"/>
      <c r="F13" s="761"/>
      <c r="G13" s="761"/>
      <c r="H13" s="761"/>
      <c r="I13" s="761"/>
      <c r="J13" s="761"/>
      <c r="K13" s="761"/>
      <c r="L13" s="761"/>
      <c r="M13" s="761"/>
      <c r="N13" s="761"/>
      <c r="O13" s="761"/>
      <c r="P13" s="761"/>
      <c r="Q13" s="761"/>
      <c r="R13" s="761"/>
      <c r="S13" s="761"/>
      <c r="T13" s="761"/>
      <c r="U13" s="761"/>
      <c r="V13" s="761"/>
      <c r="W13" s="761"/>
      <c r="X13" s="761" t="s">
        <v>654</v>
      </c>
      <c r="Y13" s="761"/>
    </row>
    <row r="14" spans="2:25" ht="25.5">
      <c r="B14" s="268">
        <f ca="1">IF(tbl_VBCCDBldgTypes2024[[#This Row],[Concatenate]]="","",ROW()-ROW(tbl_VBCCDBldgTypes2024[[#Headers],['#]]))</f>
        <v>11</v>
      </c>
      <c r="C14" s="268" t="str">
        <f ca="1">_xlfn.TEXTJOIN(",",TRUE,OFFSET(tbl_VBCCDBldgTypes2024[[#This Row],['#]],0,COLUMN(tbl_VBCCDBldgTypes2024[[#This Row],[Concatenate]])-COLUMN(tbl_VBCCDBldgTypes2024[[#This Row],['#]])+1):OFFSET(tbl_VBCCDBldgTypes2024[[#This Row],['#]],0,COUNTA(tbl_VBCCDBldgTypes2024[#Headers])-1))</f>
        <v>Equipment - Labs</v>
      </c>
      <c r="D14" s="268"/>
      <c r="E14" s="761"/>
      <c r="F14" s="761"/>
      <c r="G14" s="761"/>
      <c r="H14" s="761"/>
      <c r="I14" s="761"/>
      <c r="J14" s="761"/>
      <c r="K14" s="761"/>
      <c r="L14" s="761"/>
      <c r="M14" s="761"/>
      <c r="N14" s="761"/>
      <c r="O14" s="761"/>
      <c r="P14" s="761"/>
      <c r="Q14" s="761"/>
      <c r="R14" s="761"/>
      <c r="S14" s="761"/>
      <c r="T14" s="761"/>
      <c r="U14" s="761"/>
      <c r="V14" s="761"/>
      <c r="W14" s="761"/>
      <c r="X14" s="761" t="s">
        <v>655</v>
      </c>
      <c r="Y14" s="761"/>
    </row>
    <row r="15" spans="2:25" ht="51">
      <c r="B15" s="268">
        <f ca="1">IF(tbl_VBCCDBldgTypes2024[[#This Row],[Concatenate]]="","",ROW()-ROW(tbl_VBCCDBldgTypes2024[[#Headers],['#]]))</f>
        <v>12</v>
      </c>
      <c r="C15" s="268" t="str">
        <f ca="1">_xlfn.TEXTJOIN(",",TRUE,OFFSET(tbl_VBCCDBldgTypes2024[[#This Row],['#]],0,COLUMN(tbl_VBCCDBldgTypes2024[[#This Row],[Concatenate]])-COLUMN(tbl_VBCCDBldgTypes2024[[#This Row],['#]])+1):OFFSET(tbl_VBCCDBldgTypes2024[[#This Row],['#]],0,COUNTA(tbl_VBCCDBldgTypes2024[#Headers])-1))</f>
        <v>Fire Alarm (including Demo &amp; Restoring Finishes)</v>
      </c>
      <c r="D15" s="268"/>
      <c r="E15" s="761"/>
      <c r="F15" s="761"/>
      <c r="G15" s="761"/>
      <c r="H15" s="761"/>
      <c r="I15" s="761"/>
      <c r="J15" s="761"/>
      <c r="K15" s="761"/>
      <c r="L15" s="761"/>
      <c r="M15" s="761"/>
      <c r="N15" s="761"/>
      <c r="O15" s="761"/>
      <c r="P15" s="761"/>
      <c r="Q15" s="761"/>
      <c r="R15" s="761"/>
      <c r="S15" s="761"/>
      <c r="T15" s="761"/>
      <c r="U15" s="761"/>
      <c r="V15" s="761"/>
      <c r="W15" s="761"/>
      <c r="X15" s="761" t="s">
        <v>656</v>
      </c>
      <c r="Y15" s="761"/>
    </row>
    <row r="16" spans="2:25">
      <c r="B16" s="268" t="str">
        <f ca="1">IF(tbl_VBCCDBldgTypes2024[[#This Row],[Concatenate]]="","",ROW()-ROW(tbl_VBCCDBldgTypes2024[[#Headers],['#]]))</f>
        <v/>
      </c>
      <c r="C16" s="268" t="str">
        <f ca="1">_xlfn.TEXTJOIN(",",TRUE,OFFSET(tbl_VBCCDBldgTypes2024[[#This Row],['#]],0,COLUMN(tbl_VBCCDBldgTypes2024[[#This Row],[Concatenate]])-COLUMN(tbl_VBCCDBldgTypes2024[[#This Row],['#]])+1):OFFSET(tbl_VBCCDBldgTypes2024[[#This Row],['#]],0,COUNTA(tbl_VBCCDBldgTypes2024[#Headers])-1))</f>
        <v/>
      </c>
      <c r="D16" s="268"/>
      <c r="E16" s="761"/>
      <c r="F16" s="761"/>
      <c r="G16" s="761"/>
      <c r="H16" s="761"/>
      <c r="I16" s="761"/>
      <c r="J16" s="761"/>
      <c r="K16" s="761"/>
      <c r="L16" s="761"/>
      <c r="M16" s="761"/>
      <c r="N16" s="761"/>
      <c r="O16" s="761"/>
      <c r="P16" s="761"/>
      <c r="Q16" s="761"/>
      <c r="R16" s="761"/>
      <c r="S16" s="761"/>
      <c r="T16" s="761"/>
      <c r="U16" s="761"/>
      <c r="V16" s="761"/>
      <c r="W16" s="761"/>
      <c r="X16" s="761"/>
      <c r="Y16" s="761"/>
    </row>
    <row r="17" spans="2:25">
      <c r="B17" s="268" t="str">
        <f ca="1">IF(tbl_VBCCDBldgTypes2024[[#This Row],[Concatenate]]="","",ROW()-ROW(tbl_VBCCDBldgTypes2024[[#Headers],['#]]))</f>
        <v/>
      </c>
      <c r="C17" s="268" t="str">
        <f ca="1">_xlfn.TEXTJOIN(",",TRUE,OFFSET(tbl_VBCCDBldgTypes2024[[#This Row],['#]],0,COLUMN(tbl_VBCCDBldgTypes2024[[#This Row],[Concatenate]])-COLUMN(tbl_VBCCDBldgTypes2024[[#This Row],['#]])+1):OFFSET(tbl_VBCCDBldgTypes2024[[#This Row],['#]],0,COUNTA(tbl_VBCCDBldgTypes2024[#Headers])-1))</f>
        <v/>
      </c>
      <c r="D17" s="268"/>
      <c r="E17" s="761"/>
      <c r="F17" s="761"/>
      <c r="G17" s="761"/>
      <c r="H17" s="761"/>
      <c r="I17" s="761"/>
      <c r="J17" s="761"/>
      <c r="K17" s="761"/>
      <c r="L17" s="761"/>
      <c r="M17" s="761"/>
      <c r="N17" s="761"/>
      <c r="O17" s="761"/>
      <c r="P17" s="761"/>
      <c r="Q17" s="761"/>
      <c r="R17" s="761"/>
      <c r="S17" s="761"/>
      <c r="T17" s="761"/>
      <c r="U17" s="761"/>
      <c r="V17" s="761"/>
      <c r="W17" s="761"/>
      <c r="X17" s="761"/>
      <c r="Y17" s="761"/>
    </row>
    <row r="18" spans="2:25">
      <c r="B18" s="268" t="str">
        <f ca="1">IF(tbl_VBCCDBldgTypes2024[[#This Row],[Concatenate]]="","",ROW()-ROW(tbl_VBCCDBldgTypes2024[[#Headers],['#]]))</f>
        <v/>
      </c>
      <c r="C18" s="268" t="str">
        <f ca="1">_xlfn.TEXTJOIN(",",TRUE,OFFSET(tbl_VBCCDBldgTypes2024[[#This Row],['#]],0,COLUMN(tbl_VBCCDBldgTypes2024[[#This Row],[Concatenate]])-COLUMN(tbl_VBCCDBldgTypes2024[[#This Row],['#]])+1):OFFSET(tbl_VBCCDBldgTypes2024[[#This Row],['#]],0,COUNTA(tbl_VBCCDBldgTypes2024[#Headers])-1))</f>
        <v/>
      </c>
      <c r="D18" s="268"/>
      <c r="E18" s="761"/>
      <c r="F18" s="761"/>
      <c r="G18" s="761"/>
      <c r="H18" s="761"/>
      <c r="I18" s="761"/>
      <c r="J18" s="761"/>
      <c r="K18" s="761"/>
      <c r="L18" s="761"/>
      <c r="M18" s="761"/>
      <c r="N18" s="761"/>
      <c r="O18" s="761"/>
      <c r="P18" s="761"/>
      <c r="Q18" s="761"/>
      <c r="R18" s="761"/>
      <c r="S18" s="761"/>
      <c r="T18" s="761"/>
      <c r="U18" s="761"/>
      <c r="V18" s="761"/>
      <c r="W18" s="761"/>
      <c r="X18" s="761"/>
      <c r="Y18" s="761"/>
    </row>
    <row r="19" spans="2:25">
      <c r="B19" s="268" t="s">
        <v>376</v>
      </c>
      <c r="C19" s="271"/>
      <c r="D19" s="271"/>
      <c r="E19" s="268">
        <f ca="1">SUBTOTAL(103,tbl_VBCCDBldgTypes2024[CLASSROOM BUILDINGS])</f>
        <v>4</v>
      </c>
      <c r="F19" s="268"/>
      <c r="G19" s="268">
        <f ca="1">SUBTOTAL(103,tbl_VBCCDBldgTypes2024[COURTS])</f>
        <v>1</v>
      </c>
      <c r="H19" s="268">
        <f ca="1">SUBTOTAL(103,tbl_VBCCDBldgTypes2024[DORMITORY])</f>
        <v>3</v>
      </c>
      <c r="I19" s="268">
        <f ca="1">SUBTOTAL(103,tbl_VBCCDBldgTypes2024[[FOOD ]])</f>
        <v>3</v>
      </c>
      <c r="J19" s="268">
        <f ca="1">SUBTOTAL(103,tbl_VBCCDBldgTypes2024[GYM-PHYS-ED BUILDINGS])</f>
        <v>2</v>
      </c>
      <c r="K19" s="268">
        <f ca="1">SUBTOTAL(103,tbl_VBCCDBldgTypes2024[DRY LABS Physics Buildings, Engineering Buildings])</f>
        <v>7</v>
      </c>
      <c r="L19" s="268">
        <f ca="1">SUBTOTAL(103,tbl_VBCCDBldgTypes2024[WET LABS Chemistry Buildings, Biology Buildings])</f>
        <v>3</v>
      </c>
      <c r="M19" s="268">
        <f ca="1">SUBTOTAL(103,tbl_VBCCDBldgTypes2024[RESEARCH LABS])</f>
        <v>3</v>
      </c>
      <c r="N19" s="268">
        <f ca="1">SUBTOTAL(103,tbl_VBCCDBldgTypes2024[LIBRARIES])</f>
        <v>3</v>
      </c>
      <c r="O19" s="268">
        <f ca="1">SUBTOTAL(103,tbl_VBCCDBldgTypes2024[MEDICAL])</f>
        <v>4</v>
      </c>
      <c r="P19" s="268">
        <f ca="1">SUBTOTAL(103,tbl_VBCCDBldgTypes2024[MULTIPURPOSE BUILDINGS])</f>
        <v>2</v>
      </c>
      <c r="Q19" s="268">
        <f ca="1">SUBTOTAL(103,tbl_VBCCDBldgTypes2024[MUSEUMS])</f>
        <v>3</v>
      </c>
      <c r="R19" s="268">
        <f ca="1">SUBTOTAL(103,tbl_VBCCDBldgTypes2024[OFFICE BUILDINGS])</f>
        <v>7</v>
      </c>
      <c r="S19" s="268">
        <f ca="1">SUBTOTAL(103,tbl_VBCCDBldgTypes2024[PARKING])</f>
        <v>1</v>
      </c>
      <c r="T19" s="268">
        <f ca="1">SUBTOTAL(103,tbl_VBCCDBldgTypes2024[PARKING STRUCTURE])</f>
        <v>1</v>
      </c>
      <c r="U19" s="268">
        <f ca="1">SUBTOTAL(103,tbl_VBCCDBldgTypes2024[ROOFING])</f>
        <v>1</v>
      </c>
      <c r="V19" s="268">
        <f ca="1">SUBTOTAL(103,tbl_VBCCDBldgTypes2024[STUDENT CENTERS])</f>
        <v>2</v>
      </c>
      <c r="W19" s="268">
        <f ca="1">SUBTOTAL(103,tbl_VBCCDBldgTypes2024[THEATERS])</f>
        <v>6</v>
      </c>
      <c r="X19" s="268">
        <f ca="1">SUBTOTAL(103,tbl_VBCCDBldgTypes2024[Other])</f>
        <v>12</v>
      </c>
      <c r="Y19" s="268">
        <f ca="1">SUBTOTAL(103,tbl_VBCCDBldgTypes2024[UNIVERSITY WELCOME CENTERS])</f>
        <v>1</v>
      </c>
    </row>
  </sheetData>
  <sheetProtection algorithmName="SHA-512" hashValue="bMmFXfnFCaxwNCoIzMCYN7sIT4gGCJLUAJDjoJ8RVaCrhKK5ZHgKjco2Y/SuL3HAQCIl/VKDQTdH0XFDjieDXg==" saltValue="1beS3LwL6P4jHahp/fxP6w==" spinCount="100000" sheet="1" autoFilter="0"/>
  <phoneticPr fontId="10" type="noConversion"/>
  <conditionalFormatting sqref="D4:Y18">
    <cfRule type="expression" dxfId="163" priority="1">
      <formula>AND(D4&lt;&gt;"",ISNUMBER(MATCH(D4,#REF!,0))=FALSE)</formula>
    </cfRule>
  </conditionalFormatting>
  <hyperlinks>
    <hyperlink ref="B1" r:id="rId1" xr:uid="{DA47D09F-C0AF-4893-8A08-B9E2F0EA1B24}"/>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M29"/>
  <sheetViews>
    <sheetView showGridLines="0" workbookViewId="0"/>
  </sheetViews>
  <sheetFormatPr defaultRowHeight="12.75"/>
  <cols>
    <col min="2" max="2" width="15" customWidth="1"/>
    <col min="5" max="5" width="25" style="207" customWidth="1"/>
    <col min="6" max="6" width="15.28515625" style="208" customWidth="1"/>
    <col min="7" max="7" width="8.7109375" style="208" customWidth="1"/>
    <col min="8" max="8" width="15.28515625" style="208" customWidth="1"/>
    <col min="9" max="9" width="15.28515625" customWidth="1"/>
    <col min="10" max="11" width="8.7109375" customWidth="1"/>
    <col min="12" max="15" width="15.28515625" customWidth="1"/>
  </cols>
  <sheetData>
    <row r="3" spans="2:13" s="210" customFormat="1" ht="36" customHeight="1">
      <c r="B3" s="209" t="s">
        <v>13</v>
      </c>
      <c r="C3" s="209"/>
      <c r="D3" s="209"/>
      <c r="F3" s="209"/>
      <c r="G3" s="209"/>
      <c r="H3" s="209"/>
      <c r="I3" s="238"/>
    </row>
    <row r="4" spans="2:13" s="12" customFormat="1">
      <c r="B4" s="797"/>
      <c r="C4" s="797"/>
      <c r="D4" s="797"/>
      <c r="E4" s="216"/>
      <c r="F4" s="217"/>
      <c r="G4" s="217"/>
      <c r="H4" s="217"/>
      <c r="I4" s="797"/>
      <c r="J4" s="797"/>
      <c r="K4" s="797"/>
      <c r="L4" s="797"/>
      <c r="M4" s="797"/>
    </row>
    <row r="5" spans="2:13" s="12" customFormat="1">
      <c r="B5" s="797"/>
      <c r="C5" s="797"/>
      <c r="D5" s="797"/>
      <c r="E5" s="216" t="s">
        <v>33</v>
      </c>
      <c r="F5" s="217">
        <f>'P-Overview'!C8</f>
        <v>0</v>
      </c>
      <c r="G5" s="217"/>
      <c r="H5" s="217"/>
      <c r="I5" s="797"/>
      <c r="J5" s="797"/>
      <c r="K5" s="797"/>
      <c r="L5" s="797"/>
      <c r="M5" s="797"/>
    </row>
    <row r="6" spans="2:13" s="12" customFormat="1" ht="33.6" customHeight="1">
      <c r="B6" s="797"/>
      <c r="C6" s="797"/>
      <c r="D6" s="797"/>
      <c r="E6" s="216" t="s">
        <v>34</v>
      </c>
      <c r="F6" s="836">
        <f>'P-Overview'!C7</f>
        <v>0</v>
      </c>
      <c r="G6" s="836"/>
      <c r="H6" s="837"/>
      <c r="I6" s="837"/>
      <c r="J6" s="797"/>
      <c r="K6" s="797"/>
      <c r="L6" s="797"/>
      <c r="M6" s="797"/>
    </row>
    <row r="7" spans="2:13" s="12" customFormat="1">
      <c r="B7" s="797"/>
      <c r="C7" s="797"/>
      <c r="D7" s="797"/>
      <c r="E7" s="216"/>
      <c r="F7" s="217"/>
      <c r="G7" s="217"/>
      <c r="H7" s="217"/>
      <c r="I7" s="797"/>
      <c r="J7" s="797"/>
      <c r="K7" s="797"/>
      <c r="L7" s="797"/>
      <c r="M7" s="797"/>
    </row>
    <row r="8" spans="2:13" s="12" customFormat="1">
      <c r="B8" s="797"/>
      <c r="C8" s="797"/>
      <c r="D8" s="797"/>
      <c r="E8" s="216" t="s">
        <v>35</v>
      </c>
      <c r="F8" s="218">
        <f>'P-Overview'!C39</f>
        <v>0</v>
      </c>
      <c r="G8" s="218"/>
      <c r="H8" s="218"/>
      <c r="I8" s="797"/>
      <c r="J8" s="797"/>
      <c r="K8" s="797"/>
      <c r="L8" s="797"/>
      <c r="M8" s="797"/>
    </row>
    <row r="9" spans="2:13" ht="27" customHeight="1">
      <c r="B9" s="759"/>
      <c r="C9" s="759"/>
      <c r="D9" s="759"/>
      <c r="I9" s="838" t="str">
        <f>'P-Overview'!D22</f>
        <v>Capital Budget Request Amounts</v>
      </c>
      <c r="J9" s="839"/>
      <c r="K9" s="256"/>
      <c r="L9" s="759"/>
      <c r="M9" s="759"/>
    </row>
    <row r="10" spans="2:13" s="211" customFormat="1" ht="38.25">
      <c r="F10" s="212" t="s">
        <v>36</v>
      </c>
      <c r="G10" s="212"/>
      <c r="H10" s="212" t="s">
        <v>37</v>
      </c>
      <c r="I10" s="220" t="s">
        <v>38</v>
      </c>
      <c r="J10" s="221"/>
    </row>
    <row r="11" spans="2:13" s="5" customFormat="1" ht="22.15" customHeight="1">
      <c r="B11" s="763"/>
      <c r="C11" s="763"/>
      <c r="D11" s="763"/>
      <c r="E11" s="213"/>
      <c r="F11" s="231">
        <f>'P-Overview'!C59</f>
        <v>0</v>
      </c>
      <c r="G11" s="215"/>
      <c r="H11" s="215"/>
      <c r="I11" s="230">
        <f>'P-Overview'!C46</f>
        <v>0</v>
      </c>
      <c r="J11" s="223"/>
      <c r="K11" s="763"/>
      <c r="L11" s="763"/>
      <c r="M11" s="763"/>
    </row>
    <row r="12" spans="2:13" s="5" customFormat="1" ht="22.15" customHeight="1">
      <c r="B12" s="763"/>
      <c r="C12" s="763"/>
      <c r="D12" s="763"/>
      <c r="E12" s="213"/>
      <c r="F12" s="215"/>
      <c r="G12" s="215"/>
      <c r="H12" s="215"/>
      <c r="I12" s="222"/>
      <c r="J12" s="223"/>
      <c r="K12" s="763"/>
      <c r="L12" s="763"/>
      <c r="M12" s="763"/>
    </row>
    <row r="13" spans="2:13" s="5" customFormat="1" ht="22.15" customHeight="1">
      <c r="B13" s="763"/>
      <c r="C13" s="763"/>
      <c r="D13" s="780" t="s">
        <v>39</v>
      </c>
      <c r="E13" s="763"/>
      <c r="F13" s="219">
        <f>'P-Overview'!C34</f>
        <v>0</v>
      </c>
      <c r="G13" s="219"/>
      <c r="H13" s="219" t="e">
        <f ca="1">I13-F13</f>
        <v>#VALUE!</v>
      </c>
      <c r="I13" s="224" t="e">
        <f ca="1">'P-Overview'!D34</f>
        <v>#VALUE!</v>
      </c>
      <c r="J13" s="223"/>
      <c r="K13" s="763"/>
      <c r="L13" s="763"/>
      <c r="M13" s="763"/>
    </row>
    <row r="14" spans="2:13" s="5" customFormat="1" ht="22.15" customHeight="1">
      <c r="B14" s="763"/>
      <c r="C14" s="763"/>
      <c r="D14" s="780" t="s">
        <v>40</v>
      </c>
      <c r="E14" s="763"/>
      <c r="F14" s="219">
        <f>'P-Blender'!M16</f>
        <v>0</v>
      </c>
      <c r="G14" s="219" t="e">
        <f>F14/F8</f>
        <v>#DIV/0!</v>
      </c>
      <c r="H14" s="219"/>
      <c r="I14" s="224"/>
      <c r="J14" s="224"/>
      <c r="K14" s="219"/>
      <c r="L14" s="763"/>
      <c r="M14" s="232"/>
    </row>
    <row r="15" spans="2:13" s="5" customFormat="1" ht="22.15" customHeight="1">
      <c r="B15" s="763"/>
      <c r="C15" s="763"/>
      <c r="D15" s="780" t="str">
        <f>'P-Blender'!B18</f>
        <v>Prevailing Wage Premium Allowance</v>
      </c>
      <c r="E15" s="763"/>
      <c r="F15" s="228">
        <f>'P-Blender'!M18</f>
        <v>0</v>
      </c>
      <c r="G15" s="233" t="e">
        <f>F15/F14</f>
        <v>#DIV/0!</v>
      </c>
      <c r="H15" s="219"/>
      <c r="I15" s="224"/>
      <c r="J15" s="224"/>
      <c r="K15" s="219"/>
      <c r="L15" s="763"/>
      <c r="M15" s="763"/>
    </row>
    <row r="16" spans="2:13" s="5" customFormat="1" ht="22.15" customHeight="1">
      <c r="B16" s="763"/>
      <c r="C16" s="763"/>
      <c r="D16" s="780" t="s">
        <v>41</v>
      </c>
      <c r="E16" s="254">
        <f ca="1">'P-Escalation'!F12</f>
        <v>46023</v>
      </c>
      <c r="F16" s="255" t="s">
        <v>42</v>
      </c>
      <c r="G16" s="252">
        <f ca="1">'P-Escalation'!G12</f>
        <v>0</v>
      </c>
      <c r="H16" s="219">
        <f ca="1">'P-Escalation'!J12-'P-Escalation'!E12</f>
        <v>0</v>
      </c>
      <c r="I16" s="224"/>
      <c r="J16" s="253">
        <f>'P-Escalation'!I12</f>
        <v>7.4999999999999997E-2</v>
      </c>
      <c r="K16" s="257"/>
      <c r="L16" s="763"/>
      <c r="M16" s="763"/>
    </row>
    <row r="17" spans="2:13" s="5" customFormat="1" ht="22.15" customHeight="1">
      <c r="B17" s="763"/>
      <c r="C17" s="763"/>
      <c r="D17" s="780" t="s">
        <v>41</v>
      </c>
      <c r="E17" s="254">
        <f ca="1">'P-Escalation'!F14</f>
        <v>0</v>
      </c>
      <c r="F17" s="255" t="s">
        <v>42</v>
      </c>
      <c r="G17" s="252">
        <f ca="1">'P-Escalation'!G14</f>
        <v>0</v>
      </c>
      <c r="H17" s="219">
        <f ca="1">'P-Escalation'!J14-'P-Escalation'!E14</f>
        <v>0</v>
      </c>
      <c r="I17" s="224"/>
      <c r="J17" s="253">
        <f>'P-Escalation'!I14</f>
        <v>0.04</v>
      </c>
      <c r="K17" s="257"/>
      <c r="L17" s="763"/>
      <c r="M17" s="763"/>
    </row>
    <row r="18" spans="2:13" s="5" customFormat="1" ht="22.15" customHeight="1">
      <c r="B18" s="763"/>
      <c r="C18" s="763"/>
      <c r="D18" s="780" t="s">
        <v>41</v>
      </c>
      <c r="E18" s="254">
        <f ca="1">'P-Escalation'!F16</f>
        <v>0</v>
      </c>
      <c r="F18" s="255" t="s">
        <v>42</v>
      </c>
      <c r="G18" s="252">
        <f>'P-Escalation'!G16</f>
        <v>0</v>
      </c>
      <c r="H18" s="228">
        <f ca="1">'P-Escalation'!J16-'P-Escalation'!E16</f>
        <v>0</v>
      </c>
      <c r="I18" s="224"/>
      <c r="J18" s="253">
        <f>'P-Escalation'!I16</f>
        <v>3.5000000000000003E-2</v>
      </c>
      <c r="K18" s="257"/>
      <c r="L18" s="763"/>
      <c r="M18" s="763"/>
    </row>
    <row r="19" spans="2:13" s="13" customFormat="1" ht="22.15" customHeight="1">
      <c r="B19" s="774"/>
      <c r="C19" s="774"/>
      <c r="D19" s="774"/>
      <c r="E19" s="234" t="s">
        <v>43</v>
      </c>
      <c r="F19" s="229">
        <f>SUM(F14:F15)</f>
        <v>0</v>
      </c>
      <c r="G19" s="229" t="e">
        <f>F19/F8</f>
        <v>#DIV/0!</v>
      </c>
      <c r="H19" s="229">
        <f ca="1">I19-F19</f>
        <v>0</v>
      </c>
      <c r="I19" s="225">
        <f ca="1">'P-Overview'!D25</f>
        <v>0</v>
      </c>
      <c r="J19" s="225" t="e">
        <f ca="1">I19/F8</f>
        <v>#DIV/0!</v>
      </c>
      <c r="K19" s="229"/>
      <c r="L19" s="763"/>
      <c r="M19" s="763"/>
    </row>
    <row r="20" spans="2:13" s="5" customFormat="1" ht="22.15" customHeight="1">
      <c r="B20" s="763"/>
      <c r="C20" s="763"/>
      <c r="D20" s="763"/>
      <c r="E20" s="214" t="s">
        <v>44</v>
      </c>
      <c r="F20" s="219" t="e">
        <f>'P-Overview'!C26+'P-Overview'!C27+'P-Overview'!C28+'P-Overview'!C30</f>
        <v>#VALUE!</v>
      </c>
      <c r="G20" s="233" t="e">
        <f>F20/(F14+F15)</f>
        <v>#VALUE!</v>
      </c>
      <c r="H20" s="219" t="e">
        <f t="shared" ref="H20:H23" ca="1" si="0">I20-F20</f>
        <v>#VALUE!</v>
      </c>
      <c r="I20" s="224">
        <f ca="1">'P-Overview'!D26+'P-Overview'!D27+'P-Overview'!D28+'P-Overview'!D30</f>
        <v>0</v>
      </c>
      <c r="J20" s="227" t="e">
        <f ca="1">I20/I19</f>
        <v>#DIV/0!</v>
      </c>
      <c r="K20" s="233"/>
      <c r="L20" s="763"/>
      <c r="M20" s="763"/>
    </row>
    <row r="21" spans="2:13" s="5" customFormat="1" ht="22.15" customHeight="1">
      <c r="B21" s="763"/>
      <c r="C21" s="763"/>
      <c r="D21" s="763"/>
      <c r="E21" s="214" t="s">
        <v>45</v>
      </c>
      <c r="F21" s="219">
        <f>'P-Overview'!C29</f>
        <v>0</v>
      </c>
      <c r="G21" s="219" t="e">
        <f>F21/F8</f>
        <v>#DIV/0!</v>
      </c>
      <c r="H21" s="219" t="e">
        <f t="shared" ca="1" si="0"/>
        <v>#VALUE!</v>
      </c>
      <c r="I21" s="224" t="e">
        <f ca="1">'P-Overview'!D29</f>
        <v>#VALUE!</v>
      </c>
      <c r="J21" s="224" t="e">
        <f ca="1">I21/F8</f>
        <v>#VALUE!</v>
      </c>
      <c r="K21" s="219"/>
      <c r="L21" s="763"/>
      <c r="M21" s="763"/>
    </row>
    <row r="22" spans="2:13" s="5" customFormat="1" ht="22.15" customHeight="1">
      <c r="B22" s="763"/>
      <c r="C22" s="763"/>
      <c r="D22" s="763"/>
      <c r="E22" s="214" t="s">
        <v>46</v>
      </c>
      <c r="F22" s="259"/>
      <c r="G22" s="259"/>
      <c r="H22" s="259"/>
      <c r="I22" s="260">
        <f>'P-Overview'!D24</f>
        <v>0</v>
      </c>
      <c r="J22" s="224"/>
      <c r="K22" s="219"/>
      <c r="L22" s="763"/>
      <c r="M22" s="763"/>
    </row>
    <row r="23" spans="2:13" s="13" customFormat="1" ht="22.15" customHeight="1">
      <c r="B23" s="774"/>
      <c r="C23" s="774"/>
      <c r="D23" s="774"/>
      <c r="E23" s="234" t="s">
        <v>47</v>
      </c>
      <c r="F23" s="229">
        <f>'P-Overview'!C31</f>
        <v>0</v>
      </c>
      <c r="G23" s="229" t="e">
        <f>F23/F8</f>
        <v>#DIV/0!</v>
      </c>
      <c r="H23" s="229" t="e">
        <f t="shared" ca="1" si="0"/>
        <v>#VALUE!</v>
      </c>
      <c r="I23" s="225" t="e">
        <f ca="1">'P-Overview'!D31</f>
        <v>#VALUE!</v>
      </c>
      <c r="J23" s="226" t="e">
        <f ca="1">I23/F8</f>
        <v>#VALUE!</v>
      </c>
      <c r="K23" s="258"/>
      <c r="L23" s="774"/>
      <c r="M23" s="774"/>
    </row>
    <row r="24" spans="2:13" s="5" customFormat="1" ht="22.15" customHeight="1">
      <c r="B24" s="763"/>
      <c r="C24" s="763"/>
      <c r="D24" s="763"/>
      <c r="E24" s="213"/>
      <c r="F24" s="764"/>
      <c r="G24" s="764"/>
      <c r="H24" s="764"/>
      <c r="I24" s="763"/>
      <c r="J24" s="763"/>
      <c r="K24" s="763"/>
      <c r="L24" s="763"/>
      <c r="M24" s="763"/>
    </row>
    <row r="25" spans="2:13" s="5" customFormat="1" ht="38.450000000000003" customHeight="1">
      <c r="B25" s="792"/>
      <c r="C25" s="792"/>
      <c r="D25" s="792"/>
      <c r="E25" s="784"/>
      <c r="F25" s="784"/>
      <c r="G25" s="784"/>
      <c r="H25" s="784"/>
      <c r="I25" s="784"/>
      <c r="J25" s="784"/>
      <c r="K25" s="784"/>
      <c r="L25" s="763"/>
      <c r="M25" s="763"/>
    </row>
    <row r="26" spans="2:13" s="5" customFormat="1" ht="22.15" customHeight="1">
      <c r="B26" s="763"/>
      <c r="C26" s="763"/>
      <c r="D26" s="763"/>
      <c r="E26" s="213"/>
      <c r="F26" s="764"/>
      <c r="G26" s="764"/>
      <c r="H26" s="764"/>
      <c r="I26" s="763"/>
      <c r="J26" s="763"/>
      <c r="K26" s="763"/>
      <c r="L26" s="763"/>
      <c r="M26" s="763"/>
    </row>
    <row r="27" spans="2:13" s="5" customFormat="1" ht="22.15" customHeight="1">
      <c r="B27" s="763"/>
      <c r="C27" s="763"/>
      <c r="D27" s="763"/>
      <c r="E27" s="213"/>
      <c r="F27" s="764"/>
      <c r="G27" s="764"/>
      <c r="H27" s="764"/>
      <c r="I27" s="763"/>
      <c r="J27" s="763"/>
      <c r="K27" s="763"/>
      <c r="L27" s="763"/>
      <c r="M27" s="763"/>
    </row>
    <row r="28" spans="2:13" s="5" customFormat="1" ht="22.15" customHeight="1">
      <c r="B28" s="763"/>
      <c r="C28" s="763"/>
      <c r="D28" s="763"/>
      <c r="E28" s="213"/>
      <c r="F28" s="764"/>
      <c r="G28" s="764"/>
      <c r="H28" s="764"/>
      <c r="I28" s="763"/>
      <c r="J28" s="763"/>
      <c r="K28" s="763"/>
      <c r="L28" s="763"/>
      <c r="M28" s="763"/>
    </row>
    <row r="29" spans="2:13" s="5" customFormat="1" ht="22.15" customHeight="1">
      <c r="B29" s="763"/>
      <c r="C29" s="763"/>
      <c r="D29" s="763"/>
      <c r="E29" s="213"/>
      <c r="F29" s="764"/>
      <c r="G29" s="764"/>
      <c r="H29" s="764"/>
      <c r="I29" s="763"/>
      <c r="J29" s="763"/>
      <c r="K29" s="763"/>
      <c r="L29" s="763"/>
      <c r="M29" s="763"/>
    </row>
  </sheetData>
  <sheetProtection algorithmName="SHA-512" hashValue="HjKRJJDbM0G+Txivjau1fl/g11rMcU3KieocIqt2sKnJpkE2nptVyKRhpqUnc+hM4aCHXOrQF/aucKOZL46xlw==" saltValue="Uku31v5xS1zyJbKyE/YZFA==" spinCount="100000" sheet="1" autoFilter="0"/>
  <mergeCells count="2">
    <mergeCell ref="F6:I6"/>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4AFE-25AE-4E9F-95C6-AB928D77B198}">
  <sheetPr codeName="Sheet13">
    <tabColor rgb="FFCC66FF"/>
  </sheetPr>
  <dimension ref="B2:T79"/>
  <sheetViews>
    <sheetView showGridLines="0" workbookViewId="0">
      <selection activeCell="E15" sqref="E15"/>
    </sheetView>
  </sheetViews>
  <sheetFormatPr defaultRowHeight="12.75"/>
  <cols>
    <col min="2" max="2" width="13.140625" customWidth="1"/>
    <col min="3" max="3" width="46" bestFit="1" customWidth="1"/>
    <col min="4" max="4" width="30.140625" bestFit="1" customWidth="1"/>
    <col min="5" max="5" width="36.7109375" bestFit="1" customWidth="1"/>
    <col min="6" max="6" width="10.5703125" customWidth="1"/>
    <col min="7" max="7" width="11.42578125" customWidth="1"/>
    <col min="8" max="8" width="12.28515625" customWidth="1"/>
    <col min="9" max="9" width="12.85546875" customWidth="1"/>
    <col min="10" max="10" width="14.7109375" customWidth="1"/>
    <col min="11" max="11" width="16.42578125" customWidth="1"/>
    <col min="12" max="12" width="14.28515625" customWidth="1"/>
    <col min="13" max="13" width="14" customWidth="1"/>
    <col min="17" max="17" width="45.85546875" bestFit="1" customWidth="1"/>
    <col min="18" max="18" width="27.42578125" bestFit="1" customWidth="1"/>
    <col min="19" max="19" width="1.7109375" customWidth="1"/>
  </cols>
  <sheetData>
    <row r="2" spans="2:20">
      <c r="B2" s="23"/>
      <c r="C2" s="23"/>
      <c r="D2" s="759"/>
      <c r="E2" s="759"/>
      <c r="F2" s="759"/>
      <c r="G2" s="759"/>
      <c r="H2" s="759"/>
      <c r="I2" s="759"/>
      <c r="J2" s="759"/>
      <c r="K2" s="759"/>
      <c r="L2" s="759"/>
      <c r="M2" s="759"/>
      <c r="N2" s="759"/>
      <c r="O2" s="759"/>
      <c r="P2" s="759"/>
      <c r="Q2" s="759"/>
      <c r="R2" s="759"/>
      <c r="S2" s="759"/>
      <c r="T2" s="759"/>
    </row>
    <row r="3" spans="2:20">
      <c r="B3" s="719" t="s">
        <v>657</v>
      </c>
      <c r="C3" s="720"/>
      <c r="D3" s="720"/>
      <c r="E3" s="720"/>
      <c r="F3" s="759"/>
      <c r="G3" s="759"/>
      <c r="H3" s="759"/>
      <c r="I3" s="759"/>
      <c r="J3" s="759"/>
      <c r="K3" s="759"/>
      <c r="L3" s="759"/>
      <c r="M3" s="759"/>
      <c r="N3" s="759"/>
      <c r="O3" s="759"/>
      <c r="P3" s="759"/>
      <c r="Q3" s="759"/>
      <c r="R3" s="759"/>
      <c r="S3" s="759"/>
      <c r="T3" s="759"/>
    </row>
    <row r="4" spans="2:20">
      <c r="B4" s="719" t="s">
        <v>658</v>
      </c>
      <c r="C4" s="720"/>
      <c r="D4" s="720"/>
      <c r="E4" s="720"/>
      <c r="F4" s="759"/>
      <c r="G4" s="759"/>
      <c r="H4" s="759"/>
      <c r="I4" s="759"/>
      <c r="J4" s="759"/>
      <c r="K4" s="759"/>
      <c r="L4" s="759"/>
      <c r="M4" s="759"/>
      <c r="N4" s="759"/>
      <c r="O4" s="759"/>
      <c r="P4" s="759"/>
      <c r="Q4" s="759"/>
      <c r="R4" s="759"/>
      <c r="S4" s="759"/>
      <c r="T4" s="759"/>
    </row>
    <row r="5" spans="2:20">
      <c r="B5" s="719" t="s">
        <v>659</v>
      </c>
      <c r="C5" s="720"/>
      <c r="D5" s="720"/>
      <c r="E5" s="720"/>
      <c r="F5" s="759"/>
      <c r="G5" s="759"/>
      <c r="H5" s="759"/>
      <c r="I5" s="759"/>
      <c r="J5" s="759"/>
      <c r="K5" s="759"/>
      <c r="L5" s="759"/>
      <c r="M5" s="759"/>
      <c r="N5" s="759"/>
      <c r="O5" s="759"/>
      <c r="P5" s="759"/>
      <c r="Q5" s="759"/>
      <c r="R5" s="759"/>
      <c r="S5" s="759"/>
      <c r="T5" s="759"/>
    </row>
    <row r="6" spans="2:20" ht="13.5" thickBot="1">
      <c r="B6" s="719" t="s">
        <v>660</v>
      </c>
      <c r="C6" s="720"/>
      <c r="D6" s="720"/>
      <c r="E6" s="720"/>
      <c r="F6" s="759"/>
      <c r="G6" s="759"/>
      <c r="H6" s="759"/>
      <c r="I6" s="759"/>
      <c r="J6" s="759"/>
      <c r="K6" s="759"/>
      <c r="L6" s="759"/>
      <c r="M6" s="759"/>
      <c r="N6" s="759"/>
      <c r="O6" s="759"/>
      <c r="P6" s="759"/>
      <c r="Q6" s="759"/>
      <c r="R6" s="759"/>
      <c r="S6" s="759"/>
      <c r="T6" s="759"/>
    </row>
    <row r="7" spans="2:20" ht="67.5" customHeight="1" thickTop="1" thickBot="1">
      <c r="B7" s="684" t="s">
        <v>661</v>
      </c>
      <c r="C7" s="685" t="s">
        <v>662</v>
      </c>
      <c r="D7" s="685" t="s">
        <v>663</v>
      </c>
      <c r="E7" s="685" t="s">
        <v>664</v>
      </c>
      <c r="F7" s="686" t="s">
        <v>665</v>
      </c>
      <c r="G7" s="687" t="s">
        <v>666</v>
      </c>
      <c r="H7" s="688" t="s">
        <v>667</v>
      </c>
      <c r="I7" s="685" t="s">
        <v>668</v>
      </c>
      <c r="J7" s="689" t="s">
        <v>669</v>
      </c>
      <c r="K7" s="690" t="s">
        <v>670</v>
      </c>
      <c r="L7" s="690" t="s">
        <v>671</v>
      </c>
      <c r="M7" s="690" t="s">
        <v>672</v>
      </c>
      <c r="N7" s="691" t="s">
        <v>673</v>
      </c>
      <c r="O7" s="759"/>
      <c r="P7" s="759"/>
      <c r="Q7" s="759"/>
      <c r="R7" s="759"/>
      <c r="S7" s="759"/>
      <c r="T7" s="759"/>
    </row>
    <row r="8" spans="2:20" ht="15.75" thickTop="1">
      <c r="B8" s="692">
        <v>14</v>
      </c>
      <c r="C8" s="693" t="str" cm="1">
        <f t="array" aca="1" ref="C8" ca="1">IFERROR(INDEX('VBCCD BldgTypes'!$B$3:$Y$3, SUMPRODUCT(MAX(('VBCCD BldgTypes'!$B$4:$Y$18=E8)*(COLUMN('VBCCD BldgTypes'!$B$4:$Y$18))))-COLUMN($B$7)+1),"N/A VBCCD BldgTypes Table")</f>
        <v>CHILLER PLANTS &amp; HVAC</v>
      </c>
      <c r="D8" s="718" t="str" cm="1">
        <f t="array" ref="D8:M79">_xlfn.HSTACK(_xlfn.CHOOSECOLS(_xlfn._xlws.FILTER('VBCCD Summary (PUBLISH-2026)'!$B$11:$N$129,('VBCCD Summary (PUBLISH-2026)'!$C$11:$C$129="yes")*('VBCCD Summary (PUBLISH-2026)'!B11:B129&lt;&gt;"")),MATCH($D$7:$M$7,'VBCCD Summary (PUBLISH-2026)'!$B$10:$N$10,0)))</f>
        <v>Chiller Plants - Equip. Only</v>
      </c>
      <c r="E8" s="694" t="str">
        <v>Chiller Plants - Equipment Only</v>
      </c>
      <c r="F8" s="695">
        <v>3</v>
      </c>
      <c r="G8" s="696" t="str">
        <v>Yes</v>
      </c>
      <c r="H8" s="697" t="str">
        <v>Yes</v>
      </c>
      <c r="I8" s="698" t="str">
        <v>No</v>
      </c>
      <c r="J8" s="699" t="str">
        <v>Tonne</v>
      </c>
      <c r="K8" s="700" t="str">
        <v>1,200 - 3,220</v>
      </c>
      <c r="L8" s="701">
        <v>2100</v>
      </c>
      <c r="M8" s="702">
        <v>1646.1978609625669</v>
      </c>
      <c r="N8" s="703"/>
      <c r="O8" s="759"/>
      <c r="P8" s="759"/>
      <c r="Q8" s="356" t="s">
        <v>674</v>
      </c>
      <c r="R8" s="759" t="s">
        <v>675</v>
      </c>
      <c r="S8" s="759"/>
      <c r="T8" s="759" t="s">
        <v>676</v>
      </c>
    </row>
    <row r="9" spans="2:20" ht="15">
      <c r="B9" s="692">
        <v>15</v>
      </c>
      <c r="C9" s="704" t="str" cm="1">
        <f t="array" aca="1" ref="C9" ca="1">IFERROR(INDEX('VBCCD BldgTypes'!$B$3:$Y$3, SUMPRODUCT(MAX(('VBCCD BldgTypes'!$B$4:$Y$18=E9)*(COLUMN('VBCCD BldgTypes'!$B$4:$Y$18))))-COLUMN($B$7)+1),"N/A VBCCD BldgTypes Table")</f>
        <v>CHILLER PLANTS &amp; HVAC</v>
      </c>
      <c r="D9" s="705" t="str">
        <v>Chiller Plants - incl. Building</v>
      </c>
      <c r="E9" s="705" t="str">
        <v>Chiller Plants - incl. Building</v>
      </c>
      <c r="F9" s="706">
        <v>3</v>
      </c>
      <c r="G9" s="706" t="str">
        <v>Yes</v>
      </c>
      <c r="H9" s="707" t="str">
        <v>Yes</v>
      </c>
      <c r="I9" s="708" t="str">
        <v>No</v>
      </c>
      <c r="J9" s="709" t="str">
        <v>Tonne</v>
      </c>
      <c r="K9" s="710" t="str">
        <v>3,000 - 6,000</v>
      </c>
      <c r="L9" s="711">
        <v>4000</v>
      </c>
      <c r="M9" s="712">
        <v>9843.7500000000018</v>
      </c>
      <c r="N9" s="713"/>
      <c r="O9" s="759"/>
      <c r="P9" s="759"/>
      <c r="Q9" s="208" t="s">
        <v>568</v>
      </c>
      <c r="R9" s="759">
        <v>5</v>
      </c>
      <c r="S9" s="759"/>
      <c r="T9" s="759" cm="1">
        <f t="array" aca="1" ref="T9" ca="1">_xlfn.XLOOKUP(Q9,tbl_VBCCDBldgTypes2024[[#Headers],[CLASSROOM BUILDINGS]:[UNIVERSITY WELCOME CENTERS]],'VBCCD BldgTypes'!$D$2:$X$2,"NotFound",0)</f>
        <v>4</v>
      </c>
    </row>
    <row r="10" spans="2:20" ht="15">
      <c r="B10" s="692">
        <v>12</v>
      </c>
      <c r="C10" s="693" t="str" cm="1">
        <f t="array" aca="1" ref="C10" ca="1">IFERROR(INDEX('VBCCD BldgTypes'!$B$3:$Y$3, SUMPRODUCT(MAX(('VBCCD BldgTypes'!$B$4:$Y$18=E10)*(COLUMN('VBCCD BldgTypes'!$B$4:$Y$18))))-COLUMN($B$7)+1),"N/A VBCCD BldgTypes Table")</f>
        <v>CHILLER PLANTS &amp; HVAC</v>
      </c>
      <c r="D10" s="694" t="str">
        <v>HVAC</v>
      </c>
      <c r="E10" s="694" t="str">
        <v>HVAC</v>
      </c>
      <c r="F10" s="696">
        <v>12</v>
      </c>
      <c r="G10" s="696" t="str">
        <v>Yes</v>
      </c>
      <c r="H10" s="697" t="str">
        <v>Yes</v>
      </c>
      <c r="I10" s="698" t="str">
        <v>Yes</v>
      </c>
      <c r="J10" s="699" t="str">
        <v>Sq. Ft.</v>
      </c>
      <c r="K10" s="700" t="str">
        <v>4,892 - 94,400</v>
      </c>
      <c r="L10" s="701">
        <v>42147.5</v>
      </c>
      <c r="M10" s="702">
        <v>79.447099097477832</v>
      </c>
      <c r="N10" s="703"/>
      <c r="O10" s="759"/>
      <c r="P10" s="759"/>
      <c r="Q10" s="208" t="s">
        <v>570</v>
      </c>
      <c r="R10" s="759">
        <v>1</v>
      </c>
      <c r="S10" s="759"/>
      <c r="T10" s="759" cm="1">
        <f t="array" aca="1" ref="T10" ca="1">_xlfn.XLOOKUP(Q10,tbl_VBCCDBldgTypes2024[[#Headers],[CLASSROOM BUILDINGS]:[UNIVERSITY WELCOME CENTERS]],'VBCCD BldgTypes'!$D$2:$X$2,"NotFound",0)</f>
        <v>0</v>
      </c>
    </row>
    <row r="11" spans="2:20" ht="15">
      <c r="B11" s="692">
        <v>16</v>
      </c>
      <c r="C11" s="704" t="str" cm="1">
        <f t="array" aca="1" ref="C11" ca="1">IFERROR(INDEX('VBCCD BldgTypes'!$B$3:$Y$3, SUMPRODUCT(MAX(('VBCCD BldgTypes'!$B$4:$Y$18=E11)*(COLUMN('VBCCD BldgTypes'!$B$4:$Y$18))))-COLUMN($B$7)+1),"N/A VBCCD BldgTypes Table")</f>
        <v>CLASSROOM BUILDINGS</v>
      </c>
      <c r="D11" s="705" t="str">
        <v xml:space="preserve">New CR </v>
      </c>
      <c r="E11" s="705" t="str">
        <v>New Classroom Buildings</v>
      </c>
      <c r="F11" s="706">
        <v>35</v>
      </c>
      <c r="G11" s="706" t="str">
        <v>Yes</v>
      </c>
      <c r="H11" s="707" t="str">
        <v>Yes</v>
      </c>
      <c r="I11" s="708" t="str">
        <v>Yes</v>
      </c>
      <c r="J11" s="709" t="str">
        <v>Sq. Ft.</v>
      </c>
      <c r="K11" s="710" t="str">
        <v>21,686 - 299,748</v>
      </c>
      <c r="L11" s="711">
        <v>102000</v>
      </c>
      <c r="M11" s="712">
        <v>474.34609601361211</v>
      </c>
      <c r="N11" s="713"/>
      <c r="O11" s="759"/>
      <c r="P11" s="759"/>
      <c r="Q11" s="208" t="s">
        <v>137</v>
      </c>
      <c r="R11" s="759">
        <v>3</v>
      </c>
      <c r="S11" s="759"/>
      <c r="T11" s="759" cm="1">
        <f t="array" aca="1" ref="T11" ca="1">_xlfn.XLOOKUP(Q11,tbl_VBCCDBldgTypes2024[[#Headers],[CLASSROOM BUILDINGS]:[UNIVERSITY WELCOME CENTERS]],'VBCCD BldgTypes'!$D$2:$X$2,"NotFound",0)</f>
        <v>3</v>
      </c>
    </row>
    <row r="12" spans="2:20" ht="15">
      <c r="B12" s="692">
        <v>18</v>
      </c>
      <c r="C12" s="693" t="str" cm="1">
        <f t="array" aca="1" ref="C12" ca="1">IFERROR(INDEX('VBCCD BldgTypes'!$B$3:$Y$3, SUMPRODUCT(MAX(('VBCCD BldgTypes'!$B$4:$Y$18=E12)*(COLUMN('VBCCD BldgTypes'!$B$4:$Y$18))))-COLUMN($B$7)+1),"N/A VBCCD BldgTypes Table")</f>
        <v>CLASSROOM BUILDINGS</v>
      </c>
      <c r="D12" s="694" t="str">
        <v>Ren CR - M</v>
      </c>
      <c r="E12" s="694" t="str">
        <v>Renovate Classroom Buildings - M</v>
      </c>
      <c r="F12" s="696">
        <v>10</v>
      </c>
      <c r="G12" s="696" t="str">
        <v>Yes</v>
      </c>
      <c r="H12" s="697" t="str">
        <v>Yes</v>
      </c>
      <c r="I12" s="698" t="str">
        <v>Yes</v>
      </c>
      <c r="J12" s="699" t="str">
        <v>Sq. Ft.</v>
      </c>
      <c r="K12" s="700" t="str">
        <v>7,804 - 64,750</v>
      </c>
      <c r="L12" s="701">
        <v>25310</v>
      </c>
      <c r="M12" s="702">
        <v>233.19464119153741</v>
      </c>
      <c r="N12" s="703"/>
      <c r="O12" s="759"/>
      <c r="P12" s="759"/>
      <c r="Q12" s="208" t="s">
        <v>573</v>
      </c>
      <c r="R12" s="759">
        <v>7</v>
      </c>
      <c r="S12" s="759"/>
      <c r="T12" s="759" cm="1">
        <f t="array" aca="1" ref="T12" ca="1">_xlfn.XLOOKUP(Q12,tbl_VBCCDBldgTypes2024[[#Headers],[CLASSROOM BUILDINGS]:[UNIVERSITY WELCOME CENTERS]],'VBCCD BldgTypes'!$D$2:$X$2,"NotFound",0)</f>
        <v>7</v>
      </c>
    </row>
    <row r="13" spans="2:20" ht="15">
      <c r="B13" s="692">
        <v>19</v>
      </c>
      <c r="C13" s="704" t="str" cm="1">
        <f t="array" aca="1" ref="C13" ca="1">IFERROR(INDEX('VBCCD BldgTypes'!$B$3:$Y$3, SUMPRODUCT(MAX(('VBCCD BldgTypes'!$B$4:$Y$18=E13)*(COLUMN('VBCCD BldgTypes'!$B$4:$Y$18))))-COLUMN($B$7)+1),"N/A VBCCD BldgTypes Table")</f>
        <v>CLASSROOM BUILDINGS</v>
      </c>
      <c r="D13" s="705" t="str">
        <v>Ren CR - H</v>
      </c>
      <c r="E13" s="705" t="str">
        <v>Renovate Classroom Buildings - H</v>
      </c>
      <c r="F13" s="706">
        <v>16</v>
      </c>
      <c r="G13" s="706" t="str">
        <v>Yes</v>
      </c>
      <c r="H13" s="707" t="str">
        <v>Yes</v>
      </c>
      <c r="I13" s="708" t="str">
        <v>Yes</v>
      </c>
      <c r="J13" s="709" t="str">
        <v>Sq. Ft.</v>
      </c>
      <c r="K13" s="710" t="str">
        <v>13,786 - 210,903</v>
      </c>
      <c r="L13" s="711">
        <v>44018</v>
      </c>
      <c r="M13" s="712">
        <v>347.570246215157</v>
      </c>
      <c r="N13" s="713"/>
      <c r="O13" s="759"/>
      <c r="P13" s="759"/>
      <c r="Q13" s="208" t="s">
        <v>571</v>
      </c>
      <c r="R13" s="759">
        <v>2</v>
      </c>
      <c r="S13" s="759"/>
      <c r="T13" s="759" cm="1">
        <f t="array" aca="1" ref="T13" ca="1">_xlfn.XLOOKUP(Q13,tbl_VBCCDBldgTypes2024[[#Headers],[CLASSROOM BUILDINGS]:[UNIVERSITY WELCOME CENTERS]],'VBCCD BldgTypes'!$D$2:$X$2,"NotFound",0)</f>
        <v>3</v>
      </c>
    </row>
    <row r="14" spans="2:20" ht="15">
      <c r="B14" s="692">
        <v>20</v>
      </c>
      <c r="C14" s="693" t="str" cm="1">
        <f t="array" aca="1" ref="C14" ca="1">IFERROR(INDEX('VBCCD BldgTypes'!$B$3:$Y$3, SUMPRODUCT(MAX(('VBCCD BldgTypes'!$B$4:$Y$18=E14)*(COLUMN('VBCCD BldgTypes'!$B$4:$Y$18))))-COLUMN($B$7)+1),"N/A VBCCD BldgTypes Table")</f>
        <v>CLASSROOM BUILDINGS</v>
      </c>
      <c r="D14" s="694" t="str">
        <v>Ren CR - Historic</v>
      </c>
      <c r="E14" s="694" t="str">
        <v>Renovate Classroom Buildings - Historic</v>
      </c>
      <c r="F14" s="696">
        <v>10</v>
      </c>
      <c r="G14" s="696" t="str">
        <v>Yes</v>
      </c>
      <c r="H14" s="697" t="str">
        <v>Yes</v>
      </c>
      <c r="I14" s="698" t="str">
        <v>Yes</v>
      </c>
      <c r="J14" s="699" t="str">
        <v>Sq. Ft.</v>
      </c>
      <c r="K14" s="700" t="str">
        <v>13,717 - 159,129</v>
      </c>
      <c r="L14" s="701">
        <v>29832</v>
      </c>
      <c r="M14" s="702">
        <v>354.23040031876735</v>
      </c>
      <c r="N14" s="703"/>
      <c r="O14" s="759"/>
      <c r="P14" s="759"/>
      <c r="Q14" s="208" t="s">
        <v>572</v>
      </c>
      <c r="R14" s="759">
        <v>2</v>
      </c>
      <c r="S14" s="759"/>
      <c r="T14" s="759" cm="1">
        <f t="array" aca="1" ref="T14" ca="1">_xlfn.XLOOKUP(Q14,tbl_VBCCDBldgTypes2024[[#Headers],[CLASSROOM BUILDINGS]:[UNIVERSITY WELCOME CENTERS]],'VBCCD BldgTypes'!$D$2:$X$2,"NotFound",0)</f>
        <v>2</v>
      </c>
    </row>
    <row r="15" spans="2:20" ht="15">
      <c r="B15" s="692">
        <v>77</v>
      </c>
      <c r="C15" s="704" t="str" cm="1">
        <f t="array" aca="1" ref="C15" ca="1">IFERROR(INDEX('VBCCD BldgTypes'!$B$3:$Y$3, SUMPRODUCT(MAX(('VBCCD BldgTypes'!$B$4:$Y$18=E15)*(COLUMN('VBCCD BldgTypes'!$B$4:$Y$18))))-COLUMN($B$7)+1),"N/A VBCCD BldgTypes Table")</f>
        <v>CORRECTIONAL FACILITIES</v>
      </c>
      <c r="D15" s="705" t="str">
        <v>New Correctional Facilities</v>
      </c>
      <c r="E15" s="705" t="str">
        <v>New Correctional Facilities</v>
      </c>
      <c r="F15" s="706">
        <v>18</v>
      </c>
      <c r="G15" s="706" t="str">
        <v>Yes</v>
      </c>
      <c r="H15" s="714" t="str">
        <v>Yes</v>
      </c>
      <c r="I15" s="708" t="str">
        <v>Yes</v>
      </c>
      <c r="J15" s="709" t="str">
        <v>Sq. Ft.</v>
      </c>
      <c r="K15" s="715" t="str">
        <v>19,920 - 200,011</v>
      </c>
      <c r="L15" s="711">
        <v>92537</v>
      </c>
      <c r="M15" s="712">
        <v>285.84624944555219</v>
      </c>
      <c r="N15" s="713"/>
      <c r="O15" s="759"/>
      <c r="P15" s="759"/>
      <c r="Q15" s="208" t="s">
        <v>576</v>
      </c>
      <c r="R15" s="759">
        <v>2</v>
      </c>
      <c r="S15" s="759"/>
      <c r="T15" s="759" cm="1">
        <f t="array" aca="1" ref="T15" ca="1">_xlfn.XLOOKUP(Q15,tbl_VBCCDBldgTypes2024[[#Headers],[CLASSROOM BUILDINGS]:[UNIVERSITY WELCOME CENTERS]],'VBCCD BldgTypes'!$D$2:$X$2,"NotFound",0)</f>
        <v>3</v>
      </c>
    </row>
    <row r="16" spans="2:20" ht="15">
      <c r="B16" s="692">
        <v>21</v>
      </c>
      <c r="C16" s="693" t="str" cm="1">
        <f t="array" aca="1" ref="C16" ca="1">IFERROR(INDEX('VBCCD BldgTypes'!$B$3:$Y$3, SUMPRODUCT(MAX(('VBCCD BldgTypes'!$B$4:$Y$18=E16)*(COLUMN('VBCCD BldgTypes'!$B$4:$Y$18))))-COLUMN($B$7)+1),"N/A VBCCD BldgTypes Table")</f>
        <v>COURTS</v>
      </c>
      <c r="D16" s="694" t="str">
        <v>Ren Court</v>
      </c>
      <c r="E16" s="694" t="str">
        <v>Ren Court</v>
      </c>
      <c r="F16" s="696">
        <v>4</v>
      </c>
      <c r="G16" s="696" t="str">
        <v>Yes</v>
      </c>
      <c r="H16" s="697" t="str">
        <v>Yes</v>
      </c>
      <c r="I16" s="698" t="str">
        <v>Yes</v>
      </c>
      <c r="J16" s="699" t="str">
        <v>Sq. Ft.</v>
      </c>
      <c r="K16" s="700" t="str">
        <v>29,900 - 44,826</v>
      </c>
      <c r="L16" s="701">
        <v>32700</v>
      </c>
      <c r="M16" s="702">
        <v>231.19473206437792</v>
      </c>
      <c r="N16" s="703"/>
      <c r="O16" s="759"/>
      <c r="P16" s="759"/>
      <c r="Q16" s="208" t="s">
        <v>577</v>
      </c>
      <c r="R16" s="759">
        <v>2</v>
      </c>
      <c r="S16" s="759"/>
      <c r="T16" s="759" cm="1">
        <f t="array" aca="1" ref="T16" ca="1">_xlfn.XLOOKUP(Q16,tbl_VBCCDBldgTypes2024[[#Headers],[CLASSROOM BUILDINGS]:[UNIVERSITY WELCOME CENTERS]],'VBCCD BldgTypes'!$D$2:$X$2,"NotFound",0)</f>
        <v>4</v>
      </c>
    </row>
    <row r="17" spans="2:20" ht="15">
      <c r="B17" s="692">
        <v>22</v>
      </c>
      <c r="C17" s="704" t="str" cm="1">
        <f t="array" aca="1" ref="C17" ca="1">IFERROR(INDEX('VBCCD BldgTypes'!$B$3:$Y$3, SUMPRODUCT(MAX(('VBCCD BldgTypes'!$B$4:$Y$18=E17)*(COLUMN('VBCCD BldgTypes'!$B$4:$Y$18))))-COLUMN($B$7)+1),"N/A VBCCD BldgTypes Table")</f>
        <v>DORMITORY</v>
      </c>
      <c r="D17" s="705" t="str">
        <v>New Dorm</v>
      </c>
      <c r="E17" s="705" t="str">
        <v>New Dormitory</v>
      </c>
      <c r="F17" s="706">
        <v>22</v>
      </c>
      <c r="G17" s="706" t="str">
        <v>Yes</v>
      </c>
      <c r="H17" s="707" t="str">
        <v>Yes</v>
      </c>
      <c r="I17" s="708" t="str">
        <v>Yes</v>
      </c>
      <c r="J17" s="709" t="str">
        <v>Sq. Ft.</v>
      </c>
      <c r="K17" s="710" t="str">
        <v>34,550 - 216,770</v>
      </c>
      <c r="L17" s="711">
        <v>112976.5</v>
      </c>
      <c r="M17" s="712">
        <v>307.23779724243252</v>
      </c>
      <c r="N17" s="713"/>
      <c r="O17" s="759"/>
      <c r="P17" s="759"/>
      <c r="Q17" s="208" t="s">
        <v>578</v>
      </c>
      <c r="R17" s="759">
        <v>2</v>
      </c>
      <c r="S17" s="759"/>
      <c r="T17" s="759" cm="1">
        <f t="array" aca="1" ref="T17" ca="1">_xlfn.XLOOKUP(Q17,tbl_VBCCDBldgTypes2024[[#Headers],[CLASSROOM BUILDINGS]:[UNIVERSITY WELCOME CENTERS]],'VBCCD BldgTypes'!$D$2:$X$2,"NotFound",0)</f>
        <v>2</v>
      </c>
    </row>
    <row r="18" spans="2:20" ht="15">
      <c r="B18" s="692">
        <v>23</v>
      </c>
      <c r="C18" s="693" t="str" cm="1">
        <f t="array" aca="1" ref="C18" ca="1">IFERROR(INDEX('VBCCD BldgTypes'!$B$3:$Y$3, SUMPRODUCT(MAX(('VBCCD BldgTypes'!$B$4:$Y$18=E18)*(COLUMN('VBCCD BldgTypes'!$B$4:$Y$18))))-COLUMN($B$7)+1),"N/A VBCCD BldgTypes Table")</f>
        <v>DORMITORY</v>
      </c>
      <c r="D18" s="694" t="str">
        <v>Ren Dorm</v>
      </c>
      <c r="E18" s="694" t="str">
        <v>Renovate Dormitory - L</v>
      </c>
      <c r="F18" s="696">
        <v>15</v>
      </c>
      <c r="G18" s="696" t="str">
        <v>Yes</v>
      </c>
      <c r="H18" s="697" t="str">
        <v>Yes</v>
      </c>
      <c r="I18" s="698" t="str">
        <v>Yes</v>
      </c>
      <c r="J18" s="699" t="str">
        <v>Sq. Ft.</v>
      </c>
      <c r="K18" s="700" t="str">
        <v>6,600 - 106,500</v>
      </c>
      <c r="L18" s="701">
        <v>50000</v>
      </c>
      <c r="M18" s="702">
        <v>85.721712722298221</v>
      </c>
      <c r="N18" s="703"/>
      <c r="O18" s="759"/>
      <c r="P18" s="759"/>
      <c r="Q18" s="208" t="s">
        <v>579</v>
      </c>
      <c r="R18" s="759">
        <v>3</v>
      </c>
      <c r="S18" s="759"/>
      <c r="T18" s="759" cm="1">
        <f t="array" aca="1" ref="T18" ca="1">_xlfn.XLOOKUP(Q18,tbl_VBCCDBldgTypes2024[[#Headers],[CLASSROOM BUILDINGS]:[UNIVERSITY WELCOME CENTERS]],'VBCCD BldgTypes'!$D$2:$X$2,"NotFound",0)</f>
        <v>3</v>
      </c>
    </row>
    <row r="19" spans="2:20" ht="15">
      <c r="B19" s="692">
        <v>24</v>
      </c>
      <c r="C19" s="704" t="str" cm="1">
        <f t="array" aca="1" ref="C19" ca="1">IFERROR(INDEX('VBCCD BldgTypes'!$B$3:$Y$3, SUMPRODUCT(MAX(('VBCCD BldgTypes'!$B$4:$Y$18=E19)*(COLUMN('VBCCD BldgTypes'!$B$4:$Y$18))))-COLUMN($B$7)+1),"N/A VBCCD BldgTypes Table")</f>
        <v>DORMITORY</v>
      </c>
      <c r="D19" s="705" t="str">
        <v>Ren Dorm - Historic</v>
      </c>
      <c r="E19" s="705" t="str">
        <v>Renovate Dormitory - Historic</v>
      </c>
      <c r="F19" s="706">
        <v>6</v>
      </c>
      <c r="G19" s="706" t="str">
        <v>Yes</v>
      </c>
      <c r="H19" s="707" t="str">
        <v>Yes</v>
      </c>
      <c r="I19" s="708" t="str">
        <v>Yes</v>
      </c>
      <c r="J19" s="709" t="str">
        <v>Sq. Ft.</v>
      </c>
      <c r="K19" s="710" t="str">
        <v>36,244 - 50,986</v>
      </c>
      <c r="L19" s="711">
        <v>46239</v>
      </c>
      <c r="M19" s="712">
        <v>375.15209297894648</v>
      </c>
      <c r="N19" s="713"/>
      <c r="O19" s="759"/>
      <c r="P19" s="759"/>
      <c r="Q19" s="208" t="s">
        <v>580</v>
      </c>
      <c r="R19" s="759">
        <v>7</v>
      </c>
      <c r="S19" s="759"/>
      <c r="T19" s="759" cm="1">
        <f t="array" aca="1" ref="T19" ca="1">_xlfn.XLOOKUP(Q19,tbl_VBCCDBldgTypes2024[[#Headers],[CLASSROOM BUILDINGS]:[UNIVERSITY WELCOME CENTERS]],'VBCCD BldgTypes'!$D$2:$X$2,"NotFound",0)</f>
        <v>7</v>
      </c>
    </row>
    <row r="20" spans="2:20" ht="15">
      <c r="B20" s="692">
        <v>25</v>
      </c>
      <c r="C20" s="693" t="str" cm="1">
        <f t="array" aca="1" ref="C20" ca="1">IFERROR(INDEX('VBCCD BldgTypes'!$B$3:$Y$3, SUMPRODUCT(MAX(('VBCCD BldgTypes'!$B$4:$Y$18=E20)*(COLUMN('VBCCD BldgTypes'!$B$4:$Y$18))))-COLUMN($B$7)+1),"N/A VBCCD BldgTypes Table")</f>
        <v xml:space="preserve">FOOD </v>
      </c>
      <c r="D20" s="694" t="str">
        <v>New Dining Hall</v>
      </c>
      <c r="E20" s="694" t="str">
        <v>New Dining Hall</v>
      </c>
      <c r="F20" s="696">
        <v>6</v>
      </c>
      <c r="G20" s="696" t="str">
        <v>Yes</v>
      </c>
      <c r="H20" s="697" t="str">
        <v>Yes</v>
      </c>
      <c r="I20" s="698" t="str">
        <v>Yes</v>
      </c>
      <c r="J20" s="699" t="str">
        <v>Sq. Ft.</v>
      </c>
      <c r="K20" s="700" t="str">
        <v>7,550 - 115,985</v>
      </c>
      <c r="L20" s="701">
        <v>49897.5</v>
      </c>
      <c r="M20" s="702">
        <v>692.94709244206888</v>
      </c>
      <c r="N20" s="703"/>
      <c r="O20" s="759"/>
      <c r="P20" s="759"/>
      <c r="Q20" s="208" t="s">
        <v>584</v>
      </c>
      <c r="R20" s="759">
        <v>5</v>
      </c>
      <c r="S20" s="759"/>
      <c r="T20" s="759" cm="1">
        <f t="array" aca="1" ref="T20" ca="1">_xlfn.XLOOKUP(Q20,tbl_VBCCDBldgTypes2024[[#Headers],[CLASSROOM BUILDINGS]:[UNIVERSITY WELCOME CENTERS]],'VBCCD BldgTypes'!$D$2:$X$2,"NotFound",0)</f>
        <v>12</v>
      </c>
    </row>
    <row r="21" spans="2:20" ht="15">
      <c r="B21" s="692">
        <v>26</v>
      </c>
      <c r="C21" s="704" t="str" cm="1">
        <f t="array" aca="1" ref="C21" ca="1">IFERROR(INDEX('VBCCD BldgTypes'!$B$3:$Y$3, SUMPRODUCT(MAX(('VBCCD BldgTypes'!$B$4:$Y$18=E21)*(COLUMN('VBCCD BldgTypes'!$B$4:$Y$18))))-COLUMN($B$7)+1),"N/A VBCCD BldgTypes Table")</f>
        <v xml:space="preserve">FOOD </v>
      </c>
      <c r="D21" s="705" t="str">
        <v>Ren Dining Hall</v>
      </c>
      <c r="E21" s="705" t="str">
        <v>Renovate Dining Hall</v>
      </c>
      <c r="F21" s="706">
        <v>12</v>
      </c>
      <c r="G21" s="706" t="str">
        <v>Yes</v>
      </c>
      <c r="H21" s="707" t="str">
        <v>Yes</v>
      </c>
      <c r="I21" s="708" t="str">
        <v>Yes</v>
      </c>
      <c r="J21" s="709" t="str">
        <v>Sq. Ft.</v>
      </c>
      <c r="K21" s="710" t="str">
        <v>1,002 - 42,313</v>
      </c>
      <c r="L21" s="711">
        <v>12700</v>
      </c>
      <c r="M21" s="712">
        <v>228.71723845356786</v>
      </c>
      <c r="N21" s="713"/>
      <c r="O21" s="759"/>
      <c r="P21" s="759"/>
      <c r="Q21" s="208" t="s">
        <v>581</v>
      </c>
      <c r="R21" s="759">
        <v>1</v>
      </c>
      <c r="S21" s="759"/>
      <c r="T21" s="759" cm="1">
        <f t="array" aca="1" ref="T21" ca="1">_xlfn.XLOOKUP(Q21,tbl_VBCCDBldgTypes2024[[#Headers],[CLASSROOM BUILDINGS]:[UNIVERSITY WELCOME CENTERS]],'VBCCD BldgTypes'!$D$2:$X$2,"NotFound",0)</f>
        <v>1</v>
      </c>
    </row>
    <row r="22" spans="2:20" ht="15">
      <c r="B22" s="692">
        <v>27</v>
      </c>
      <c r="C22" s="693" t="str" cm="1">
        <f t="array" aca="1" ref="C22" ca="1">IFERROR(INDEX('VBCCD BldgTypes'!$B$3:$Y$3, SUMPRODUCT(MAX(('VBCCD BldgTypes'!$B$4:$Y$18=E22)*(COLUMN('VBCCD BldgTypes'!$B$4:$Y$18))))-COLUMN($B$7)+1),"N/A VBCCD BldgTypes Table")</f>
        <v xml:space="preserve">FOOD </v>
      </c>
      <c r="D22" s="694" t="str">
        <v>New Restaurant</v>
      </c>
      <c r="E22" s="694" t="str">
        <v>New Restaurant</v>
      </c>
      <c r="F22" s="696">
        <v>4</v>
      </c>
      <c r="G22" s="696" t="str">
        <v>Yes</v>
      </c>
      <c r="H22" s="697" t="str">
        <v>Yes</v>
      </c>
      <c r="I22" s="698" t="str">
        <v>Yes</v>
      </c>
      <c r="J22" s="699" t="str">
        <v>Sq. Ft.</v>
      </c>
      <c r="K22" s="700" t="str">
        <v>5,770 - 24,000</v>
      </c>
      <c r="L22" s="701">
        <v>11829.5</v>
      </c>
      <c r="M22" s="702">
        <v>498.29505858472908</v>
      </c>
      <c r="N22" s="703"/>
      <c r="O22" s="759"/>
      <c r="P22" s="759"/>
      <c r="Q22" s="208" t="s">
        <v>226</v>
      </c>
      <c r="R22" s="759">
        <v>1</v>
      </c>
      <c r="S22" s="759"/>
      <c r="T22" s="759" cm="1">
        <f t="array" aca="1" ref="T22" ca="1">_xlfn.XLOOKUP(Q22,tbl_VBCCDBldgTypes2024[[#Headers],[CLASSROOM BUILDINGS]:[UNIVERSITY WELCOME CENTERS]],'VBCCD BldgTypes'!$D$2:$X$2,"NotFound",0)</f>
        <v>1</v>
      </c>
    </row>
    <row r="23" spans="2:20" ht="15">
      <c r="B23" s="692">
        <v>28</v>
      </c>
      <c r="C23" s="704" t="str" cm="1">
        <f t="array" aca="1" ref="C23" ca="1">IFERROR(INDEX('VBCCD BldgTypes'!$B$3:$Y$3, SUMPRODUCT(MAX(('VBCCD BldgTypes'!$B$4:$Y$18=E23)*(COLUMN('VBCCD BldgTypes'!$B$4:$Y$18))))-COLUMN($B$7)+1),"N/A VBCCD BldgTypes Table")</f>
        <v>GYM-PHYS-ED BUILDINGS</v>
      </c>
      <c r="D23" s="705" t="str">
        <v>New Gym</v>
      </c>
      <c r="E23" s="705" t="str">
        <v>New Gymnasium</v>
      </c>
      <c r="F23" s="706">
        <v>8</v>
      </c>
      <c r="G23" s="706" t="str">
        <v>Yes</v>
      </c>
      <c r="H23" s="707" t="str">
        <v>Yes</v>
      </c>
      <c r="I23" s="708" t="str">
        <v>Yes</v>
      </c>
      <c r="J23" s="709" t="str">
        <v>Sq. Ft.</v>
      </c>
      <c r="K23" s="710" t="str">
        <v>16,912 - 110,000</v>
      </c>
      <c r="L23" s="711">
        <v>55912</v>
      </c>
      <c r="M23" s="712">
        <v>693.18766960070309</v>
      </c>
      <c r="N23" s="713"/>
      <c r="O23" s="759"/>
      <c r="P23" s="759"/>
      <c r="Q23" s="208" t="s">
        <v>575</v>
      </c>
      <c r="R23" s="759">
        <v>3</v>
      </c>
      <c r="S23" s="759"/>
      <c r="T23" s="759" cm="1">
        <f t="array" aca="1" ref="T23" ca="1">_xlfn.XLOOKUP(Q23,tbl_VBCCDBldgTypes2024[[#Headers],[CLASSROOM BUILDINGS]:[UNIVERSITY WELCOME CENTERS]],'VBCCD BldgTypes'!$D$2:$X$2,"NotFound",0)</f>
        <v>3</v>
      </c>
    </row>
    <row r="24" spans="2:20" ht="15">
      <c r="B24" s="692">
        <v>29</v>
      </c>
      <c r="C24" s="693" t="str" cm="1">
        <f t="array" aca="1" ref="C24" ca="1">IFERROR(INDEX('VBCCD BldgTypes'!$B$3:$Y$3, SUMPRODUCT(MAX(('VBCCD BldgTypes'!$B$4:$Y$18=E24)*(COLUMN('VBCCD BldgTypes'!$B$4:$Y$18))))-COLUMN($B$7)+1),"N/A VBCCD BldgTypes Table")</f>
        <v>GYM-PHYS-ED BUILDINGS</v>
      </c>
      <c r="D24" s="694" t="str">
        <v>Ren Gym</v>
      </c>
      <c r="E24" s="694" t="str">
        <v>Renovate Gymnasium</v>
      </c>
      <c r="F24" s="696">
        <v>5</v>
      </c>
      <c r="G24" s="696" t="str">
        <v>Yes</v>
      </c>
      <c r="H24" s="697" t="str">
        <v>Yes</v>
      </c>
      <c r="I24" s="698" t="str">
        <v>Yes</v>
      </c>
      <c r="J24" s="699" t="str">
        <v>Sq. Ft.</v>
      </c>
      <c r="K24" s="700" t="str">
        <v>16,353 - 197,385</v>
      </c>
      <c r="L24" s="701">
        <v>90736</v>
      </c>
      <c r="M24" s="702">
        <v>143.34397102085998</v>
      </c>
      <c r="N24" s="703"/>
      <c r="O24" s="759"/>
      <c r="P24" s="759"/>
      <c r="Q24" s="208" t="s">
        <v>242</v>
      </c>
      <c r="R24" s="759">
        <v>1</v>
      </c>
      <c r="S24" s="759"/>
      <c r="T24" s="759" cm="1">
        <f t="array" aca="1" ref="T24" ca="1">_xlfn.XLOOKUP(Q24,tbl_VBCCDBldgTypes2024[[#Headers],[CLASSROOM BUILDINGS]:[UNIVERSITY WELCOME CENTERS]],'VBCCD BldgTypes'!$D$2:$X$2,"NotFound",0)</f>
        <v>1</v>
      </c>
    </row>
    <row r="25" spans="2:20" ht="15">
      <c r="B25" s="692">
        <v>30</v>
      </c>
      <c r="C25" s="704" t="str" cm="1">
        <f t="array" aca="1" ref="C25" ca="1">IFERROR(INDEX('VBCCD BldgTypes'!$B$3:$Y$3, SUMPRODUCT(MAX(('VBCCD BldgTypes'!$B$4:$Y$18=E25)*(COLUMN('VBCCD BldgTypes'!$B$4:$Y$18))))-COLUMN($B$7)+1),"N/A VBCCD BldgTypes Table")</f>
        <v>DRY LABS Physics Buildings, Engineering Buildings</v>
      </c>
      <c r="D25" s="705" t="str">
        <v>New Dry Labs - L</v>
      </c>
      <c r="E25" s="705" t="str">
        <v>New Dry Lab - L</v>
      </c>
      <c r="F25" s="706">
        <v>5</v>
      </c>
      <c r="G25" s="706" t="str">
        <v>Yes</v>
      </c>
      <c r="H25" s="707" t="str">
        <v>Yes</v>
      </c>
      <c r="I25" s="708" t="str">
        <v>Yes</v>
      </c>
      <c r="J25" s="709" t="str">
        <v>Sq. Ft.</v>
      </c>
      <c r="K25" s="710" t="str">
        <v>13,800 - 161,100</v>
      </c>
      <c r="L25" s="711">
        <v>51438</v>
      </c>
      <c r="M25" s="712">
        <v>484.24855454575095</v>
      </c>
      <c r="N25" s="713"/>
      <c r="O25" s="759"/>
      <c r="P25" s="759"/>
      <c r="Q25" s="208" t="s">
        <v>582</v>
      </c>
      <c r="R25" s="759">
        <v>2</v>
      </c>
      <c r="S25" s="759"/>
      <c r="T25" s="759" cm="1">
        <f t="array" aca="1" ref="T25" ca="1">_xlfn.XLOOKUP(Q25,tbl_VBCCDBldgTypes2024[[#Headers],[CLASSROOM BUILDINGS]:[UNIVERSITY WELCOME CENTERS]],'VBCCD BldgTypes'!$D$2:$X$2,"NotFound",0)</f>
        <v>2</v>
      </c>
    </row>
    <row r="26" spans="2:20" ht="15">
      <c r="B26" s="692">
        <v>31</v>
      </c>
      <c r="C26" s="693" t="str" cm="1">
        <f t="array" aca="1" ref="C26" ca="1">IFERROR(INDEX('VBCCD BldgTypes'!$B$3:$Y$3, SUMPRODUCT(MAX(('VBCCD BldgTypes'!$B$4:$Y$18=E26)*(COLUMN('VBCCD BldgTypes'!$B$4:$Y$18))))-COLUMN($B$7)+1),"N/A VBCCD BldgTypes Table")</f>
        <v>DRY LABS Physics Buildings, Engineering Buildings</v>
      </c>
      <c r="D26" s="694" t="str">
        <v>New Dry Labs - M</v>
      </c>
      <c r="E26" s="694" t="str">
        <v>New Dry Lab - M</v>
      </c>
      <c r="F26" s="696">
        <v>10</v>
      </c>
      <c r="G26" s="696" t="str">
        <v>Yes</v>
      </c>
      <c r="H26" s="697" t="str">
        <v>Yes</v>
      </c>
      <c r="I26" s="698" t="str">
        <v>Yes</v>
      </c>
      <c r="J26" s="699" t="str">
        <v>Sq. Ft.</v>
      </c>
      <c r="K26" s="700" t="str">
        <v>26,000 - 161,100</v>
      </c>
      <c r="L26" s="701">
        <v>64834.5</v>
      </c>
      <c r="M26" s="702">
        <v>500.98511093759112</v>
      </c>
      <c r="N26" s="703"/>
      <c r="O26" s="759"/>
      <c r="P26" s="759"/>
      <c r="Q26" s="208" t="s">
        <v>583</v>
      </c>
      <c r="R26" s="759">
        <v>6</v>
      </c>
      <c r="S26" s="759"/>
      <c r="T26" s="759" cm="1">
        <f t="array" aca="1" ref="T26" ca="1">_xlfn.XLOOKUP(Q26,tbl_VBCCDBldgTypes2024[[#Headers],[CLASSROOM BUILDINGS]:[UNIVERSITY WELCOME CENTERS]],'VBCCD BldgTypes'!$D$2:$X$2,"NotFound",0)</f>
        <v>6</v>
      </c>
    </row>
    <row r="27" spans="2:20" ht="15">
      <c r="B27" s="692">
        <v>32</v>
      </c>
      <c r="C27" s="704" t="str" cm="1">
        <f t="array" aca="1" ref="C27" ca="1">IFERROR(INDEX('VBCCD BldgTypes'!$B$3:$Y$3, SUMPRODUCT(MAX(('VBCCD BldgTypes'!$B$4:$Y$18=E27)*(COLUMN('VBCCD BldgTypes'!$B$4:$Y$18))))-COLUMN($B$7)+1),"N/A VBCCD BldgTypes Table")</f>
        <v>DRY LABS Physics Buildings, Engineering Buildings</v>
      </c>
      <c r="D27" s="705" t="str">
        <v>New Dry Labs - H</v>
      </c>
      <c r="E27" s="705" t="str">
        <v>New Dry Lab - H</v>
      </c>
      <c r="F27" s="706">
        <v>9</v>
      </c>
      <c r="G27" s="706" t="str">
        <v>Yes</v>
      </c>
      <c r="H27" s="707" t="str">
        <v>Yes</v>
      </c>
      <c r="I27" s="708" t="str">
        <v>Yes</v>
      </c>
      <c r="J27" s="709" t="str">
        <v>Sq. Ft.</v>
      </c>
      <c r="K27" s="710" t="str">
        <v>40,000 - 287,000</v>
      </c>
      <c r="L27" s="711">
        <v>147967</v>
      </c>
      <c r="M27" s="712">
        <v>502.86900503498435</v>
      </c>
      <c r="N27" s="713"/>
      <c r="O27" s="759"/>
      <c r="P27" s="759"/>
      <c r="Q27" s="208" t="s">
        <v>585</v>
      </c>
      <c r="R27" s="759">
        <v>1</v>
      </c>
      <c r="S27" s="759"/>
      <c r="T27" s="759" cm="1">
        <f t="array" aca="1" ref="T27" ca="1">_xlfn.XLOOKUP(Q27,tbl_VBCCDBldgTypes2024[[#Headers],[CLASSROOM BUILDINGS]:[UNIVERSITY WELCOME CENTERS]],'VBCCD BldgTypes'!$D$2:$X$2,"NotFound",0)</f>
        <v>1</v>
      </c>
    </row>
    <row r="28" spans="2:20" ht="15">
      <c r="B28" s="692">
        <v>33</v>
      </c>
      <c r="C28" s="693" t="str" cm="1">
        <f t="array" aca="1" ref="C28" ca="1">IFERROR(INDEX('VBCCD BldgTypes'!$B$3:$Y$3, SUMPRODUCT(MAX(('VBCCD BldgTypes'!$B$4:$Y$18=E28)*(COLUMN('VBCCD BldgTypes'!$B$4:$Y$18))))-COLUMN($B$7)+1),"N/A VBCCD BldgTypes Table")</f>
        <v>DRY LABS Physics Buildings, Engineering Buildings</v>
      </c>
      <c r="D28" s="694" t="str">
        <v>New Dry Lab - Automotive</v>
      </c>
      <c r="E28" s="694" t="str">
        <v>New Dry Lab - Automotive</v>
      </c>
      <c r="F28" s="696">
        <v>2</v>
      </c>
      <c r="G28" s="696" t="str">
        <v>Yes</v>
      </c>
      <c r="H28" s="697" t="str">
        <v>Yes</v>
      </c>
      <c r="I28" s="698" t="str">
        <v>Yes</v>
      </c>
      <c r="J28" s="699" t="str">
        <v>Sq. Ft.</v>
      </c>
      <c r="K28" s="700" t="str">
        <v>13,800 - 30,670</v>
      </c>
      <c r="L28" s="701">
        <v>22235</v>
      </c>
      <c r="M28" s="702">
        <v>370.38108447653792</v>
      </c>
      <c r="N28" s="703"/>
      <c r="O28" s="759"/>
      <c r="P28" s="759"/>
      <c r="Q28" s="208" t="s">
        <v>574</v>
      </c>
      <c r="R28" s="759">
        <v>3</v>
      </c>
      <c r="S28" s="759"/>
      <c r="T28" s="759" cm="1">
        <f t="array" aca="1" ref="T28" ca="1">_xlfn.XLOOKUP(Q28,tbl_VBCCDBldgTypes2024[[#Headers],[CLASSROOM BUILDINGS]:[UNIVERSITY WELCOME CENTERS]],'VBCCD BldgTypes'!$D$2:$X$2,"NotFound",0)</f>
        <v>3</v>
      </c>
    </row>
    <row r="29" spans="2:20" ht="15">
      <c r="B29" s="692">
        <v>34</v>
      </c>
      <c r="C29" s="704" t="str" cm="1">
        <f t="array" aca="1" ref="C29" ca="1">IFERROR(INDEX('VBCCD BldgTypes'!$B$3:$Y$3, SUMPRODUCT(MAX(('VBCCD BldgTypes'!$B$4:$Y$18=E29)*(COLUMN('VBCCD BldgTypes'!$B$4:$Y$18))))-COLUMN($B$7)+1),"N/A VBCCD BldgTypes Table")</f>
        <v>DRY LABS Physics Buildings, Engineering Buildings</v>
      </c>
      <c r="D29" s="705" t="str">
        <v>Ren Dry Lab - L</v>
      </c>
      <c r="E29" s="705" t="str">
        <v>Ren. Dry Lab - L</v>
      </c>
      <c r="F29" s="706">
        <v>3</v>
      </c>
      <c r="G29" s="706" t="str">
        <v>Yes</v>
      </c>
      <c r="H29" s="707" t="str">
        <v>Yes</v>
      </c>
      <c r="I29" s="708" t="str">
        <v>Yes</v>
      </c>
      <c r="J29" s="709" t="str">
        <v>Sq. Ft.</v>
      </c>
      <c r="K29" s="710" t="str">
        <v>13,190 - 46,534</v>
      </c>
      <c r="L29" s="711">
        <v>17450</v>
      </c>
      <c r="M29" s="712">
        <v>138.57413980667943</v>
      </c>
      <c r="N29" s="713"/>
      <c r="O29" s="759"/>
      <c r="P29" s="759"/>
      <c r="Q29" s="208" t="s">
        <v>539</v>
      </c>
      <c r="R29" s="759">
        <v>59</v>
      </c>
      <c r="S29" s="759"/>
      <c r="T29" s="759">
        <f ca="1">SUM(T9:T28)</f>
        <v>68</v>
      </c>
    </row>
    <row r="30" spans="2:20" ht="15">
      <c r="B30" s="692">
        <v>35</v>
      </c>
      <c r="C30" s="693" t="str" cm="1">
        <f t="array" aca="1" ref="C30" ca="1">IFERROR(INDEX('VBCCD BldgTypes'!$B$3:$Y$3, SUMPRODUCT(MAX(('VBCCD BldgTypes'!$B$4:$Y$18=E30)*(COLUMN('VBCCD BldgTypes'!$B$4:$Y$18))))-COLUMN($B$7)+1),"N/A VBCCD BldgTypes Table")</f>
        <v>DRY LABS Physics Buildings, Engineering Buildings</v>
      </c>
      <c r="D30" s="694" t="str">
        <v>Ren Dry Lab - M</v>
      </c>
      <c r="E30" s="694" t="str">
        <v>Ren. Dry Lab - M</v>
      </c>
      <c r="F30" s="696">
        <v>5</v>
      </c>
      <c r="G30" s="696" t="str">
        <v>Yes</v>
      </c>
      <c r="H30" s="697" t="str">
        <v>Yes</v>
      </c>
      <c r="I30" s="698" t="str">
        <v>Yes</v>
      </c>
      <c r="J30" s="699" t="str">
        <v>Sq. Ft.</v>
      </c>
      <c r="K30" s="700" t="str">
        <v>4,600 - 68,000</v>
      </c>
      <c r="L30" s="701">
        <v>13190</v>
      </c>
      <c r="M30" s="702">
        <v>297.9718462273209</v>
      </c>
      <c r="N30" s="703"/>
      <c r="O30" s="759"/>
      <c r="P30" s="759"/>
      <c r="Q30" s="759"/>
      <c r="R30" s="759"/>
      <c r="S30" s="759"/>
      <c r="T30" s="759"/>
    </row>
    <row r="31" spans="2:20" ht="15">
      <c r="B31" s="692">
        <v>36</v>
      </c>
      <c r="C31" s="704" t="str" cm="1">
        <f t="array" aca="1" ref="C31" ca="1">IFERROR(INDEX('VBCCD BldgTypes'!$B$3:$Y$3, SUMPRODUCT(MAX(('VBCCD BldgTypes'!$B$4:$Y$18=E31)*(COLUMN('VBCCD BldgTypes'!$B$4:$Y$18))))-COLUMN($B$7)+1),"N/A VBCCD BldgTypes Table")</f>
        <v>DRY LABS Physics Buildings, Engineering Buildings</v>
      </c>
      <c r="D31" s="705" t="str">
        <v>Ren Dry Lab - H</v>
      </c>
      <c r="E31" s="705" t="str">
        <v>Ren. Dry Lab - H</v>
      </c>
      <c r="F31" s="706">
        <v>7</v>
      </c>
      <c r="G31" s="706" t="str">
        <v>Yes</v>
      </c>
      <c r="H31" s="707" t="str">
        <v>Yes</v>
      </c>
      <c r="I31" s="708" t="str">
        <v>Yes</v>
      </c>
      <c r="J31" s="709" t="str">
        <v>Sq. Ft.</v>
      </c>
      <c r="K31" s="710" t="str">
        <v>2,950 - 124,162</v>
      </c>
      <c r="L31" s="711">
        <v>6300</v>
      </c>
      <c r="M31" s="712">
        <v>449.83719782930439</v>
      </c>
      <c r="N31" s="713"/>
      <c r="O31" s="759"/>
      <c r="P31" s="759"/>
      <c r="Q31" s="759"/>
      <c r="R31" s="759"/>
      <c r="S31" s="759"/>
      <c r="T31" s="759"/>
    </row>
    <row r="32" spans="2:20" ht="15">
      <c r="B32" s="692">
        <v>37</v>
      </c>
      <c r="C32" s="693" t="str" cm="1">
        <f t="array" aca="1" ref="C32" ca="1">IFERROR(INDEX('VBCCD BldgTypes'!$B$3:$Y$3, SUMPRODUCT(MAX(('VBCCD BldgTypes'!$B$4:$Y$18=E32)*(COLUMN('VBCCD BldgTypes'!$B$4:$Y$18))))-COLUMN($B$7)+1),"N/A VBCCD BldgTypes Table")</f>
        <v>WET LABS Chemistry Buildings, Biology Buildings</v>
      </c>
      <c r="D32" s="694" t="str">
        <v>New Wet Labs - M</v>
      </c>
      <c r="E32" s="694" t="str">
        <v>New Wet Lab - M</v>
      </c>
      <c r="F32" s="696">
        <v>12</v>
      </c>
      <c r="G32" s="696" t="str">
        <v>Yes</v>
      </c>
      <c r="H32" s="697" t="str">
        <v>Yes</v>
      </c>
      <c r="I32" s="698" t="str">
        <v>Yes</v>
      </c>
      <c r="J32" s="699" t="str">
        <v>Sq. Ft.</v>
      </c>
      <c r="K32" s="700" t="str">
        <v>2,304 - 116,791</v>
      </c>
      <c r="L32" s="701">
        <v>23833.5</v>
      </c>
      <c r="M32" s="702">
        <v>362.00734390104753</v>
      </c>
      <c r="N32" s="703"/>
      <c r="O32" s="759"/>
      <c r="P32" s="759"/>
      <c r="Q32" s="759"/>
      <c r="R32" s="759"/>
      <c r="S32" s="759"/>
      <c r="T32" s="759"/>
    </row>
    <row r="33" spans="2:14" ht="15">
      <c r="B33" s="692">
        <v>38</v>
      </c>
      <c r="C33" s="704" t="str" cm="1">
        <f t="array" aca="1" ref="C33" ca="1">IFERROR(INDEX('VBCCD BldgTypes'!$B$3:$Y$3, SUMPRODUCT(MAX(('VBCCD BldgTypes'!$B$4:$Y$18=E33)*(COLUMN('VBCCD BldgTypes'!$B$4:$Y$18))))-COLUMN($B$7)+1),"N/A VBCCD BldgTypes Table")</f>
        <v>WET LABS Chemistry Buildings, Biology Buildings</v>
      </c>
      <c r="D33" s="705" t="str">
        <v>New Wet Labs - H</v>
      </c>
      <c r="E33" s="705" t="str">
        <v>New Wet Lab - H</v>
      </c>
      <c r="F33" s="706">
        <v>13</v>
      </c>
      <c r="G33" s="706" t="str">
        <v>Yes</v>
      </c>
      <c r="H33" s="707" t="str">
        <v>Yes</v>
      </c>
      <c r="I33" s="708" t="str">
        <v>Yes</v>
      </c>
      <c r="J33" s="709" t="str">
        <v>Sq. Ft.</v>
      </c>
      <c r="K33" s="710" t="str">
        <v>2,304 - 174,195</v>
      </c>
      <c r="L33" s="711">
        <v>93860</v>
      </c>
      <c r="M33" s="712">
        <v>769.3972828560793</v>
      </c>
      <c r="N33" s="713"/>
    </row>
    <row r="34" spans="2:14" ht="15">
      <c r="B34" s="692">
        <v>39</v>
      </c>
      <c r="C34" s="693" t="str" cm="1">
        <f t="array" aca="1" ref="C34" ca="1">IFERROR(INDEX('VBCCD BldgTypes'!$B$3:$Y$3, SUMPRODUCT(MAX(('VBCCD BldgTypes'!$B$4:$Y$18=E34)*(COLUMN('VBCCD BldgTypes'!$B$4:$Y$18))))-COLUMN($B$7)+1),"N/A VBCCD BldgTypes Table")</f>
        <v>WET LABS Chemistry Buildings, Biology Buildings</v>
      </c>
      <c r="D34" s="694" t="str">
        <v>Ren Wet Labs</v>
      </c>
      <c r="E34" s="694" t="str">
        <v>Renovate Wet Lab - H</v>
      </c>
      <c r="F34" s="696">
        <v>11</v>
      </c>
      <c r="G34" s="696" t="str">
        <v>Yes</v>
      </c>
      <c r="H34" s="697" t="str">
        <v>Yes</v>
      </c>
      <c r="I34" s="698" t="str">
        <v>Yes</v>
      </c>
      <c r="J34" s="699" t="str">
        <v>Sq. Ft.</v>
      </c>
      <c r="K34" s="700" t="str">
        <v>2,782 - 160,000</v>
      </c>
      <c r="L34" s="701">
        <v>18274</v>
      </c>
      <c r="M34" s="702">
        <v>393.18864940530301</v>
      </c>
      <c r="N34" s="703"/>
    </row>
    <row r="35" spans="2:14" ht="15">
      <c r="B35" s="692">
        <v>40</v>
      </c>
      <c r="C35" s="704" t="str" cm="1">
        <f t="array" aca="1" ref="C35" ca="1">IFERROR(INDEX('VBCCD BldgTypes'!$B$3:$Y$3, SUMPRODUCT(MAX(('VBCCD BldgTypes'!$B$4:$Y$18=E35)*(COLUMN('VBCCD BldgTypes'!$B$4:$Y$18))))-COLUMN($B$7)+1),"N/A VBCCD BldgTypes Table")</f>
        <v>RESEARCH LABS</v>
      </c>
      <c r="D35" s="705" t="str">
        <v>Research Labs</v>
      </c>
      <c r="E35" s="705" t="str">
        <v>Research Labs</v>
      </c>
      <c r="F35" s="706">
        <v>14</v>
      </c>
      <c r="G35" s="706" t="str">
        <v>Yes</v>
      </c>
      <c r="H35" s="707" t="str">
        <v>Yes</v>
      </c>
      <c r="I35" s="708" t="str">
        <v>Yes</v>
      </c>
      <c r="J35" s="709" t="str">
        <v>Sq. Ft.</v>
      </c>
      <c r="K35" s="710" t="str">
        <v>15,014 - 292,371</v>
      </c>
      <c r="L35" s="711">
        <v>51958</v>
      </c>
      <c r="M35" s="712">
        <v>1362.1967923471689</v>
      </c>
      <c r="N35" s="713"/>
    </row>
    <row r="36" spans="2:14" ht="15">
      <c r="B36" s="692">
        <v>41</v>
      </c>
      <c r="C36" s="693" t="str" cm="1">
        <f t="array" aca="1" ref="C36" ca="1">IFERROR(INDEX('VBCCD BldgTypes'!$B$3:$Y$3, SUMPRODUCT(MAX(('VBCCD BldgTypes'!$B$4:$Y$18=E36)*(COLUMN('VBCCD BldgTypes'!$B$4:$Y$18))))-COLUMN($B$7)+1),"N/A VBCCD BldgTypes Table")</f>
        <v>RESEARCH LABS</v>
      </c>
      <c r="D36" s="694" t="str">
        <v>Research Lab Additions</v>
      </c>
      <c r="E36" s="694" t="str">
        <v>Research Lab Additions</v>
      </c>
      <c r="F36" s="696">
        <v>2</v>
      </c>
      <c r="G36" s="696" t="str">
        <v>Yes</v>
      </c>
      <c r="H36" s="697" t="str">
        <v>Yes</v>
      </c>
      <c r="I36" s="698" t="str">
        <v>Yes</v>
      </c>
      <c r="J36" s="699" t="str">
        <v>Sq. Ft.</v>
      </c>
      <c r="K36" s="700" t="str">
        <v>4,190 - 15,014</v>
      </c>
      <c r="L36" s="701">
        <v>9602</v>
      </c>
      <c r="M36" s="702">
        <v>1001.3862456892697</v>
      </c>
      <c r="N36" s="703"/>
    </row>
    <row r="37" spans="2:14" ht="15">
      <c r="B37" s="692">
        <v>42</v>
      </c>
      <c r="C37" s="704" t="str" cm="1">
        <f t="array" aca="1" ref="C37" ca="1">IFERROR(INDEX('VBCCD BldgTypes'!$B$3:$Y$3, SUMPRODUCT(MAX(('VBCCD BldgTypes'!$B$4:$Y$18=E37)*(COLUMN('VBCCD BldgTypes'!$B$4:$Y$18))))-COLUMN($B$7)+1),"N/A VBCCD BldgTypes Table")</f>
        <v>RESEARCH LABS</v>
      </c>
      <c r="D37" s="705" t="str">
        <v>Research Lab Renovations - H</v>
      </c>
      <c r="E37" s="705" t="str">
        <v>Research Lab Renovations - H</v>
      </c>
      <c r="F37" s="706">
        <v>8</v>
      </c>
      <c r="G37" s="706" t="str">
        <v>Yes</v>
      </c>
      <c r="H37" s="707" t="str">
        <v>Yes</v>
      </c>
      <c r="I37" s="708" t="str">
        <v>Yes</v>
      </c>
      <c r="J37" s="709" t="str">
        <v>Sq. Ft.</v>
      </c>
      <c r="K37" s="710" t="str">
        <v>2,782 - 30,514</v>
      </c>
      <c r="L37" s="711">
        <v>10750</v>
      </c>
      <c r="M37" s="712">
        <v>678.84163809232246</v>
      </c>
      <c r="N37" s="713"/>
    </row>
    <row r="38" spans="2:14" ht="15">
      <c r="B38" s="692">
        <v>43</v>
      </c>
      <c r="C38" s="693" t="str" cm="1">
        <f t="array" aca="1" ref="C38" ca="1">IFERROR(INDEX('VBCCD BldgTypes'!$B$3:$Y$3, SUMPRODUCT(MAX(('VBCCD BldgTypes'!$B$4:$Y$18=E38)*(COLUMN('VBCCD BldgTypes'!$B$4:$Y$18))))-COLUMN($B$7)+1),"N/A VBCCD BldgTypes Table")</f>
        <v>LIBRARIES</v>
      </c>
      <c r="D38" s="694" t="str">
        <v>New Libraries</v>
      </c>
      <c r="E38" s="694" t="str">
        <v>New Library</v>
      </c>
      <c r="F38" s="696">
        <v>9</v>
      </c>
      <c r="G38" s="696" t="str">
        <v>Yes</v>
      </c>
      <c r="H38" s="697" t="str">
        <v>Yes</v>
      </c>
      <c r="I38" s="698" t="str">
        <v>Yes</v>
      </c>
      <c r="J38" s="699" t="str">
        <v>Sq. Ft.</v>
      </c>
      <c r="K38" s="700" t="str">
        <v>30,770 - 200,000</v>
      </c>
      <c r="L38" s="701">
        <v>120000</v>
      </c>
      <c r="M38" s="702">
        <v>394.54708357594939</v>
      </c>
      <c r="N38" s="703"/>
    </row>
    <row r="39" spans="2:14" ht="15">
      <c r="B39" s="692">
        <v>44</v>
      </c>
      <c r="C39" s="704" t="str" cm="1">
        <f t="array" aca="1" ref="C39" ca="1">IFERROR(INDEX('VBCCD BldgTypes'!$B$3:$Y$3, SUMPRODUCT(MAX(('VBCCD BldgTypes'!$B$4:$Y$18=E39)*(COLUMN('VBCCD BldgTypes'!$B$4:$Y$18))))-COLUMN($B$7)+1),"N/A VBCCD BldgTypes Table")</f>
        <v>LIBRARIES</v>
      </c>
      <c r="D39" s="705" t="str">
        <v>Ren Libraries - M</v>
      </c>
      <c r="E39" s="705" t="str">
        <v>Ren Libraries - M</v>
      </c>
      <c r="F39" s="706">
        <v>4</v>
      </c>
      <c r="G39" s="706" t="str">
        <v>Yes</v>
      </c>
      <c r="H39" s="707" t="str">
        <v>Yes</v>
      </c>
      <c r="I39" s="708" t="str">
        <v>Yes</v>
      </c>
      <c r="J39" s="709" t="str">
        <v>Sq. Ft.</v>
      </c>
      <c r="K39" s="710" t="str">
        <v>1,202 - 28,000</v>
      </c>
      <c r="L39" s="711">
        <v>13595.5</v>
      </c>
      <c r="M39" s="712">
        <v>194.66305531242705</v>
      </c>
      <c r="N39" s="713"/>
    </row>
    <row r="40" spans="2:14" ht="15">
      <c r="B40" s="692">
        <v>45</v>
      </c>
      <c r="C40" s="693" t="str" cm="1">
        <f t="array" aca="1" ref="C40" ca="1">IFERROR(INDEX('VBCCD BldgTypes'!$B$3:$Y$3, SUMPRODUCT(MAX(('VBCCD BldgTypes'!$B$4:$Y$18=E40)*(COLUMN('VBCCD BldgTypes'!$B$4:$Y$18))))-COLUMN($B$7)+1),"N/A VBCCD BldgTypes Table")</f>
        <v>LIBRARIES</v>
      </c>
      <c r="D40" s="694" t="str">
        <v>Ren-Add Libraries</v>
      </c>
      <c r="E40" s="694" t="str">
        <v>Ren.-Add Library</v>
      </c>
      <c r="F40" s="696">
        <v>5</v>
      </c>
      <c r="G40" s="696" t="str">
        <v>Yes</v>
      </c>
      <c r="H40" s="697" t="str">
        <v>Yes</v>
      </c>
      <c r="I40" s="698" t="str">
        <v>Yes</v>
      </c>
      <c r="J40" s="699" t="str">
        <v>Sq. Ft.</v>
      </c>
      <c r="K40" s="700" t="str">
        <v>25,000 - 161,000</v>
      </c>
      <c r="L40" s="701">
        <v>100000</v>
      </c>
      <c r="M40" s="702">
        <v>364.53570247933885</v>
      </c>
      <c r="N40" s="703"/>
    </row>
    <row r="41" spans="2:14" ht="15">
      <c r="B41" s="692">
        <v>46</v>
      </c>
      <c r="C41" s="704" t="str" cm="1">
        <f t="array" aca="1" ref="C41" ca="1">IFERROR(INDEX('VBCCD BldgTypes'!$B$3:$Y$3, SUMPRODUCT(MAX(('VBCCD BldgTypes'!$B$4:$Y$18=E41)*(COLUMN('VBCCD BldgTypes'!$B$4:$Y$18))))-COLUMN($B$7)+1),"N/A VBCCD BldgTypes Table")</f>
        <v>MEDICAL</v>
      </c>
      <c r="D41" s="705" t="str">
        <v>New Mental Health Facility</v>
      </c>
      <c r="E41" s="705" t="str">
        <v>New Mental Health Facility</v>
      </c>
      <c r="F41" s="706">
        <v>4</v>
      </c>
      <c r="G41" s="706" t="str">
        <v>Yes</v>
      </c>
      <c r="H41" s="707" t="str">
        <v>Yes</v>
      </c>
      <c r="I41" s="708" t="str">
        <v>Yes</v>
      </c>
      <c r="J41" s="709" t="str">
        <v>Sq. Ft.</v>
      </c>
      <c r="K41" s="710" t="str">
        <v>117,000 - 430,000</v>
      </c>
      <c r="L41" s="711">
        <v>327253.5</v>
      </c>
      <c r="M41" s="712">
        <v>665.61429733766772</v>
      </c>
      <c r="N41" s="713"/>
    </row>
    <row r="42" spans="2:14" ht="15">
      <c r="B42" s="692">
        <v>47</v>
      </c>
      <c r="C42" s="693" t="str" cm="1">
        <f t="array" aca="1" ref="C42" ca="1">IFERROR(INDEX('VBCCD BldgTypes'!$B$3:$Y$3, SUMPRODUCT(MAX(('VBCCD BldgTypes'!$B$4:$Y$18=E42)*(COLUMN('VBCCD BldgTypes'!$B$4:$Y$18))))-COLUMN($B$7)+1),"N/A VBCCD BldgTypes Table")</f>
        <v>MEDICAL</v>
      </c>
      <c r="D42" s="694" t="str">
        <v>New Mental Health Clinic</v>
      </c>
      <c r="E42" s="694" t="str">
        <v>New Mental Health Clinic</v>
      </c>
      <c r="F42" s="696">
        <v>3</v>
      </c>
      <c r="G42" s="696" t="str">
        <v>Yes</v>
      </c>
      <c r="H42" s="697" t="str">
        <v>Yes</v>
      </c>
      <c r="I42" s="698" t="str">
        <v>Yes</v>
      </c>
      <c r="J42" s="699" t="str">
        <v>Sq. Ft.</v>
      </c>
      <c r="K42" s="700" t="str">
        <v>10,679 - 42,495</v>
      </c>
      <c r="L42" s="701">
        <v>16078</v>
      </c>
      <c r="M42" s="702">
        <v>368.99508610271107</v>
      </c>
      <c r="N42" s="703"/>
    </row>
    <row r="43" spans="2:14" ht="15">
      <c r="B43" s="692">
        <v>48</v>
      </c>
      <c r="C43" s="704" t="str" cm="1">
        <f t="array" aca="1" ref="C43" ca="1">IFERROR(INDEX('VBCCD BldgTypes'!$B$3:$Y$3, SUMPRODUCT(MAX(('VBCCD BldgTypes'!$B$4:$Y$18=E43)*(COLUMN('VBCCD BldgTypes'!$B$4:$Y$18))))-COLUMN($B$7)+1),"N/A VBCCD BldgTypes Table")</f>
        <v>MEDICAL</v>
      </c>
      <c r="D43" s="705" t="str">
        <v>New-Medical</v>
      </c>
      <c r="E43" s="705" t="str">
        <v>New Clinic</v>
      </c>
      <c r="F43" s="706">
        <v>6</v>
      </c>
      <c r="G43" s="706" t="str">
        <v>Yes</v>
      </c>
      <c r="H43" s="707" t="str">
        <v>Yes</v>
      </c>
      <c r="I43" s="708" t="str">
        <v>Yes</v>
      </c>
      <c r="J43" s="709" t="str">
        <v>Sq. Ft.</v>
      </c>
      <c r="K43" s="710" t="str">
        <v>13,000 - 460,740</v>
      </c>
      <c r="L43" s="711">
        <v>77136</v>
      </c>
      <c r="M43" s="712">
        <v>394.1546439042416</v>
      </c>
      <c r="N43" s="713"/>
    </row>
    <row r="44" spans="2:14" ht="15">
      <c r="B44" s="692">
        <v>49</v>
      </c>
      <c r="C44" s="693" t="str" cm="1">
        <f t="array" aca="1" ref="C44" ca="1">IFERROR(INDEX('VBCCD BldgTypes'!$B$3:$Y$3, SUMPRODUCT(MAX(('VBCCD BldgTypes'!$B$4:$Y$18=E44)*(COLUMN('VBCCD BldgTypes'!$B$4:$Y$18))))-COLUMN($B$7)+1),"N/A VBCCD BldgTypes Table")</f>
        <v>MEDICAL</v>
      </c>
      <c r="D44" s="694" t="str">
        <v>Ren Medical</v>
      </c>
      <c r="E44" s="694" t="str">
        <v>Ren Medical</v>
      </c>
      <c r="F44" s="696">
        <v>8</v>
      </c>
      <c r="G44" s="696" t="str">
        <v>Yes</v>
      </c>
      <c r="H44" s="697" t="str">
        <v>Yes</v>
      </c>
      <c r="I44" s="698" t="str">
        <v>Yes</v>
      </c>
      <c r="J44" s="699" t="str">
        <v>Sq. Ft.</v>
      </c>
      <c r="K44" s="700" t="str">
        <v>7,594 - 94,039</v>
      </c>
      <c r="L44" s="701">
        <v>14023.5</v>
      </c>
      <c r="M44" s="702">
        <v>380.2584905570211</v>
      </c>
      <c r="N44" s="703"/>
    </row>
    <row r="45" spans="2:14" ht="15">
      <c r="B45" s="692">
        <v>50</v>
      </c>
      <c r="C45" s="704" t="str" cm="1">
        <f t="array" aca="1" ref="C45" ca="1">IFERROR(INDEX('VBCCD BldgTypes'!$B$3:$Y$3, SUMPRODUCT(MAX(('VBCCD BldgTypes'!$B$4:$Y$18=E45)*(COLUMN('VBCCD BldgTypes'!$B$4:$Y$18))))-COLUMN($B$7)+1),"N/A VBCCD BldgTypes Table")</f>
        <v>MULTIPURPOSE BUILDINGS</v>
      </c>
      <c r="D45" s="705" t="str">
        <v>Multipurpose Center</v>
      </c>
      <c r="E45" s="705" t="str">
        <v>New Multipurpose Center</v>
      </c>
      <c r="F45" s="706">
        <v>7</v>
      </c>
      <c r="G45" s="706" t="str">
        <v>Yes</v>
      </c>
      <c r="H45" s="707" t="str">
        <v>Yes</v>
      </c>
      <c r="I45" s="708" t="str">
        <v>Yes</v>
      </c>
      <c r="J45" s="709" t="str">
        <v>Sq. Ft.</v>
      </c>
      <c r="K45" s="710" t="str">
        <v>11,766 - 167,874</v>
      </c>
      <c r="L45" s="711">
        <v>52944</v>
      </c>
      <c r="M45" s="712">
        <v>554.60474999021301</v>
      </c>
      <c r="N45" s="713"/>
    </row>
    <row r="46" spans="2:14" ht="15">
      <c r="B46" s="692">
        <v>51</v>
      </c>
      <c r="C46" s="693" t="str" cm="1">
        <f t="array" aca="1" ref="C46" ca="1">IFERROR(INDEX('VBCCD BldgTypes'!$B$3:$Y$3, SUMPRODUCT(MAX(('VBCCD BldgTypes'!$B$4:$Y$18=E46)*(COLUMN('VBCCD BldgTypes'!$B$4:$Y$18))))-COLUMN($B$7)+1),"N/A VBCCD BldgTypes Table")</f>
        <v>MULTIPURPOSE BUILDINGS</v>
      </c>
      <c r="D46" s="694" t="str">
        <v>Recreation Center</v>
      </c>
      <c r="E46" s="694" t="str">
        <v>New Community Hospital</v>
      </c>
      <c r="F46" s="696">
        <v>16</v>
      </c>
      <c r="G46" s="696" t="str">
        <v>Yes</v>
      </c>
      <c r="H46" s="697" t="str">
        <v>Yes</v>
      </c>
      <c r="I46" s="698" t="str">
        <v>Yes</v>
      </c>
      <c r="J46" s="699" t="str">
        <v>Sq. Ft.</v>
      </c>
      <c r="K46" s="700" t="str">
        <v>1,639 - 197,385</v>
      </c>
      <c r="L46" s="701">
        <v>44783.5</v>
      </c>
      <c r="M46" s="702">
        <v>573.5732452715514</v>
      </c>
      <c r="N46" s="703"/>
    </row>
    <row r="47" spans="2:14" ht="15">
      <c r="B47" s="692">
        <v>52</v>
      </c>
      <c r="C47" s="704" t="str" cm="1">
        <f t="array" aca="1" ref="C47" ca="1">IFERROR(INDEX('VBCCD BldgTypes'!$B$3:$Y$3, SUMPRODUCT(MAX(('VBCCD BldgTypes'!$B$4:$Y$18=E47)*(COLUMN('VBCCD BldgTypes'!$B$4:$Y$18))))-COLUMN($B$7)+1),"N/A VBCCD BldgTypes Table")</f>
        <v>MUSEUMS</v>
      </c>
      <c r="D47" s="705" t="str">
        <v>New Museums</v>
      </c>
      <c r="E47" s="705" t="str">
        <v>New Museum</v>
      </c>
      <c r="F47" s="706">
        <v>9</v>
      </c>
      <c r="G47" s="706" t="str">
        <v>Yes</v>
      </c>
      <c r="H47" s="707" t="str">
        <v>Yes</v>
      </c>
      <c r="I47" s="708" t="str">
        <v>Yes</v>
      </c>
      <c r="J47" s="709" t="str">
        <v>Sq. Ft.</v>
      </c>
      <c r="K47" s="710" t="str">
        <v>2,667 - 449,000</v>
      </c>
      <c r="L47" s="711">
        <v>56291</v>
      </c>
      <c r="M47" s="712">
        <v>1074.0592427377726</v>
      </c>
      <c r="N47" s="713"/>
    </row>
    <row r="48" spans="2:14" ht="15">
      <c r="B48" s="692">
        <v>53</v>
      </c>
      <c r="C48" s="693" t="str" cm="1">
        <f t="array" aca="1" ref="C48" ca="1">IFERROR(INDEX('VBCCD BldgTypes'!$B$3:$Y$3, SUMPRODUCT(MAX(('VBCCD BldgTypes'!$B$4:$Y$18=E48)*(COLUMN('VBCCD BldgTypes'!$B$4:$Y$18))))-COLUMN($B$7)+1),"N/A VBCCD BldgTypes Table")</f>
        <v>MUSEUMS</v>
      </c>
      <c r="D48" s="694" t="str">
        <v>Ren Museums</v>
      </c>
      <c r="E48" s="694" t="str">
        <v>Ren. Museum</v>
      </c>
      <c r="F48" s="696">
        <v>3</v>
      </c>
      <c r="G48" s="696" t="str">
        <v>Yes</v>
      </c>
      <c r="H48" s="697" t="str">
        <v>Yes</v>
      </c>
      <c r="I48" s="698" t="str">
        <v>Yes</v>
      </c>
      <c r="J48" s="699" t="str">
        <v>Sq. Ft.</v>
      </c>
      <c r="K48" s="700" t="str">
        <v>5,000 - 16,000</v>
      </c>
      <c r="L48" s="701">
        <v>6100</v>
      </c>
      <c r="M48" s="702">
        <v>236.94799592124875</v>
      </c>
      <c r="N48" s="703"/>
    </row>
    <row r="49" spans="2:14" ht="15">
      <c r="B49" s="692">
        <v>54</v>
      </c>
      <c r="C49" s="704" t="str" cm="1">
        <f t="array" aca="1" ref="C49" ca="1">IFERROR(INDEX('VBCCD BldgTypes'!$B$3:$Y$3, SUMPRODUCT(MAX(('VBCCD BldgTypes'!$B$4:$Y$18=E49)*(COLUMN('VBCCD BldgTypes'!$B$4:$Y$18))))-COLUMN($B$7)+1),"N/A VBCCD BldgTypes Table")</f>
        <v>MUSEUMS</v>
      </c>
      <c r="D49" s="705" t="str">
        <v>Museums - Replica</v>
      </c>
      <c r="E49" s="705" t="str">
        <v>Museum - Replicas</v>
      </c>
      <c r="F49" s="706">
        <v>3</v>
      </c>
      <c r="G49" s="706" t="str">
        <v>Yes</v>
      </c>
      <c r="H49" s="707" t="str">
        <v>Yes</v>
      </c>
      <c r="I49" s="708" t="str">
        <v>Yes</v>
      </c>
      <c r="J49" s="709" t="str">
        <v>Sq. Ft.</v>
      </c>
      <c r="K49" s="710" t="str">
        <v>3,538 - 30,000</v>
      </c>
      <c r="L49" s="711">
        <v>7330</v>
      </c>
      <c r="M49" s="712">
        <v>103.6532813981409</v>
      </c>
      <c r="N49" s="713"/>
    </row>
    <row r="50" spans="2:14" ht="15">
      <c r="B50" s="692">
        <v>55</v>
      </c>
      <c r="C50" s="693" t="str" cm="1">
        <f t="array" aca="1" ref="C50" ca="1">IFERROR(INDEX('VBCCD BldgTypes'!$B$3:$Y$3, SUMPRODUCT(MAX(('VBCCD BldgTypes'!$B$4:$Y$18=E50)*(COLUMN('VBCCD BldgTypes'!$B$4:$Y$18))))-COLUMN($B$7)+1),"N/A VBCCD BldgTypes Table")</f>
        <v>OFFICE BUILDINGS</v>
      </c>
      <c r="D50" s="694" t="str">
        <v>New Office Building</v>
      </c>
      <c r="E50" s="694" t="str">
        <v>New Office Building</v>
      </c>
      <c r="F50" s="696">
        <v>16</v>
      </c>
      <c r="G50" s="696" t="str">
        <v>Yes</v>
      </c>
      <c r="H50" s="697" t="str">
        <v>Yes</v>
      </c>
      <c r="I50" s="698" t="str">
        <v>Yes</v>
      </c>
      <c r="J50" s="699" t="str">
        <v>Sq. Ft.</v>
      </c>
      <c r="K50" s="700" t="str">
        <v>3,200 - 105,000</v>
      </c>
      <c r="L50" s="701">
        <v>18217.5</v>
      </c>
      <c r="M50" s="702">
        <v>414.48153491576034</v>
      </c>
      <c r="N50" s="703"/>
    </row>
    <row r="51" spans="2:14" ht="15">
      <c r="B51" s="692">
        <v>56</v>
      </c>
      <c r="C51" s="704" t="str" cm="1">
        <f t="array" aca="1" ref="C51" ca="1">IFERROR(INDEX('VBCCD BldgTypes'!$B$3:$Y$3, SUMPRODUCT(MAX(('VBCCD BldgTypes'!$B$4:$Y$18=E51)*(COLUMN('VBCCD BldgTypes'!$B$4:$Y$18))))-COLUMN($B$7)+1),"N/A VBCCD BldgTypes Table")</f>
        <v>OFFICE BUILDINGS</v>
      </c>
      <c r="D51" s="705" t="str">
        <v>New Small Off Add</v>
      </c>
      <c r="E51" s="705" t="str">
        <v>New Small Office Addition</v>
      </c>
      <c r="F51" s="706">
        <v>7</v>
      </c>
      <c r="G51" s="706" t="str">
        <v>Yes</v>
      </c>
      <c r="H51" s="707" t="str">
        <v>Yes</v>
      </c>
      <c r="I51" s="708" t="str">
        <v>Yes</v>
      </c>
      <c r="J51" s="709" t="str">
        <v>Sq. Ft.</v>
      </c>
      <c r="K51" s="710" t="str">
        <v>1,933 - 15,684</v>
      </c>
      <c r="L51" s="711">
        <v>4608</v>
      </c>
      <c r="M51" s="712">
        <v>265.98999751491056</v>
      </c>
      <c r="N51" s="713"/>
    </row>
    <row r="52" spans="2:14" ht="15">
      <c r="B52" s="692">
        <v>57</v>
      </c>
      <c r="C52" s="693" t="str" cm="1">
        <f t="array" aca="1" ref="C52" ca="1">IFERROR(INDEX('VBCCD BldgTypes'!$B$3:$Y$3, SUMPRODUCT(MAX(('VBCCD BldgTypes'!$B$4:$Y$18=E52)*(COLUMN('VBCCD BldgTypes'!$B$4:$Y$18))))-COLUMN($B$7)+1),"N/A VBCCD BldgTypes Table")</f>
        <v>OFFICE BUILDINGS</v>
      </c>
      <c r="D52" s="694" t="str">
        <v>New-Ren Office 50-50</v>
      </c>
      <c r="E52" s="694" t="str">
        <v>New/Ren Office 50-50</v>
      </c>
      <c r="F52" s="696">
        <v>8</v>
      </c>
      <c r="G52" s="696" t="str">
        <v>Yes</v>
      </c>
      <c r="H52" s="697" t="str">
        <v>Yes</v>
      </c>
      <c r="I52" s="698" t="str">
        <v>Yes</v>
      </c>
      <c r="J52" s="699" t="str">
        <v>Sq. Ft.</v>
      </c>
      <c r="K52" s="700" t="str">
        <v>1,643 - 51,665</v>
      </c>
      <c r="L52" s="701">
        <v>26808.5</v>
      </c>
      <c r="M52" s="702">
        <v>484.51425309266381</v>
      </c>
      <c r="N52" s="703"/>
    </row>
    <row r="53" spans="2:14" ht="15">
      <c r="B53" s="692">
        <v>59</v>
      </c>
      <c r="C53" s="704" t="str" cm="1">
        <f t="array" aca="1" ref="C53" ca="1">IFERROR(INDEX('VBCCD BldgTypes'!$B$3:$Y$3, SUMPRODUCT(MAX(('VBCCD BldgTypes'!$B$4:$Y$18=E53)*(COLUMN('VBCCD BldgTypes'!$B$4:$Y$18))))-COLUMN($B$7)+1),"N/A VBCCD BldgTypes Table")</f>
        <v>OFFICE BUILDINGS</v>
      </c>
      <c r="D53" s="705" t="str">
        <v>Ren Office - M</v>
      </c>
      <c r="E53" s="705" t="str">
        <v>Ren. Office - M</v>
      </c>
      <c r="F53" s="706">
        <v>6</v>
      </c>
      <c r="G53" s="706" t="str">
        <v>Yes</v>
      </c>
      <c r="H53" s="707" t="str">
        <v>Yes</v>
      </c>
      <c r="I53" s="708" t="str">
        <v>Yes</v>
      </c>
      <c r="J53" s="709" t="str">
        <v>Sq. Ft.</v>
      </c>
      <c r="K53" s="710" t="str">
        <v>1,933 - 163,935</v>
      </c>
      <c r="L53" s="711">
        <v>31370</v>
      </c>
      <c r="M53" s="712">
        <v>210.05052145631913</v>
      </c>
      <c r="N53" s="713"/>
    </row>
    <row r="54" spans="2:14" ht="15">
      <c r="B54" s="692">
        <v>60</v>
      </c>
      <c r="C54" s="693" t="str" cm="1">
        <f t="array" aca="1" ref="C54" ca="1">IFERROR(INDEX('VBCCD BldgTypes'!$B$3:$Y$3, SUMPRODUCT(MAX(('VBCCD BldgTypes'!$B$4:$Y$18=E54)*(COLUMN('VBCCD BldgTypes'!$B$4:$Y$18))))-COLUMN($B$7)+1),"N/A VBCCD BldgTypes Table")</f>
        <v>OFFICE BUILDINGS</v>
      </c>
      <c r="D54" s="694" t="str">
        <v>Ren Office - H</v>
      </c>
      <c r="E54" s="694" t="str">
        <v>Ren. Office - H</v>
      </c>
      <c r="F54" s="696">
        <v>7</v>
      </c>
      <c r="G54" s="696" t="str">
        <v>Yes</v>
      </c>
      <c r="H54" s="697" t="str">
        <v>Yes</v>
      </c>
      <c r="I54" s="698" t="str">
        <v>Yes</v>
      </c>
      <c r="J54" s="699" t="str">
        <v>Sq. Ft.</v>
      </c>
      <c r="K54" s="700" t="str">
        <v>9,730 - 163,935</v>
      </c>
      <c r="L54" s="701">
        <v>33935</v>
      </c>
      <c r="M54" s="702">
        <v>284.03414069819661</v>
      </c>
      <c r="N54" s="703"/>
    </row>
    <row r="55" spans="2:14" ht="15">
      <c r="B55" s="692">
        <v>13</v>
      </c>
      <c r="C55" s="704" t="str" cm="1">
        <f t="array" aca="1" ref="C55" ca="1">IFERROR(INDEX('VBCCD BldgTypes'!$B$3:$Y$3, SUMPRODUCT(MAX(('VBCCD BldgTypes'!$B$4:$Y$18=E55)*(COLUMN('VBCCD BldgTypes'!$B$4:$Y$18))))-COLUMN($B$7)+1),"N/A VBCCD BldgTypes Table")</f>
        <v>OFFICE BUILDINGS</v>
      </c>
      <c r="D55" s="705" t="str">
        <v>Office Tenant Upfit - M</v>
      </c>
      <c r="E55" s="705" t="str">
        <v>Office Tenant Upfit - M</v>
      </c>
      <c r="F55" s="706">
        <v>6</v>
      </c>
      <c r="G55" s="706" t="str">
        <v>Yes</v>
      </c>
      <c r="H55" s="707" t="str">
        <v>Yes</v>
      </c>
      <c r="I55" s="708" t="str">
        <v>Yes</v>
      </c>
      <c r="J55" s="709" t="str">
        <v>Sq. Ft.</v>
      </c>
      <c r="K55" s="710" t="str">
        <v>11,000 - 65,900</v>
      </c>
      <c r="L55" s="711">
        <v>15954.5</v>
      </c>
      <c r="M55" s="712">
        <v>90.908244168277577</v>
      </c>
      <c r="N55" s="713"/>
    </row>
    <row r="56" spans="2:14" ht="15">
      <c r="B56" s="692">
        <v>61</v>
      </c>
      <c r="C56" s="693" t="str" cm="1">
        <f t="array" aca="1" ref="C56" ca="1">IFERROR(INDEX('VBCCD BldgTypes'!$B$3:$Y$3, SUMPRODUCT(MAX(('VBCCD BldgTypes'!$B$4:$Y$18=E56)*(COLUMN('VBCCD BldgTypes'!$B$4:$Y$18))))-COLUMN($B$7)+1),"N/A VBCCD BldgTypes Table")</f>
        <v>PARKING</v>
      </c>
      <c r="D56" s="694" t="str">
        <v>Parking</v>
      </c>
      <c r="E56" s="694" t="str">
        <v>New Parking (surface lots)</v>
      </c>
      <c r="F56" s="696">
        <v>13</v>
      </c>
      <c r="G56" s="696" t="str">
        <v>Yes</v>
      </c>
      <c r="H56" s="697" t="str">
        <v>Yes</v>
      </c>
      <c r="I56" s="698" t="str">
        <v>No</v>
      </c>
      <c r="J56" s="699" t="str">
        <v>Spaces</v>
      </c>
      <c r="K56" s="700" t="str">
        <v>94 - 520</v>
      </c>
      <c r="L56" s="701">
        <v>199</v>
      </c>
      <c r="M56" s="702">
        <v>3410.4792001243331</v>
      </c>
      <c r="N56" s="703"/>
    </row>
    <row r="57" spans="2:14" ht="15">
      <c r="B57" s="692">
        <v>63</v>
      </c>
      <c r="C57" s="704" t="str" cm="1">
        <f t="array" aca="1" ref="C57" ca="1">IFERROR(INDEX('VBCCD BldgTypes'!$B$3:$Y$3, SUMPRODUCT(MAX(('VBCCD BldgTypes'!$B$4:$Y$18=E57)*(COLUMN('VBCCD BldgTypes'!$B$4:$Y$18))))-COLUMN($B$7)+1),"N/A VBCCD BldgTypes Table")</f>
        <v>PARKING STRUCTURE</v>
      </c>
      <c r="D57" s="705" t="str">
        <v>Parking Structure</v>
      </c>
      <c r="E57" s="705" t="str">
        <v>New Parking Structure</v>
      </c>
      <c r="F57" s="706">
        <v>15</v>
      </c>
      <c r="G57" s="706" t="str">
        <v>Yes</v>
      </c>
      <c r="H57" s="707" t="str">
        <v>Yes</v>
      </c>
      <c r="I57" s="708" t="str">
        <v>Yes</v>
      </c>
      <c r="J57" s="709" t="str">
        <v>Sq. Ft.</v>
      </c>
      <c r="K57" s="710" t="str">
        <v>102,455 - 840,000</v>
      </c>
      <c r="L57" s="711">
        <v>246957</v>
      </c>
      <c r="M57" s="712">
        <v>85.252715326201113</v>
      </c>
      <c r="N57" s="713"/>
    </row>
    <row r="58" spans="2:14" ht="15">
      <c r="B58" s="692">
        <v>66</v>
      </c>
      <c r="C58" s="693" t="str" cm="1">
        <f t="array" aca="1" ref="C58" ca="1">IFERROR(INDEX('VBCCD BldgTypes'!$B$3:$Y$3, SUMPRODUCT(MAX(('VBCCD BldgTypes'!$B$4:$Y$18=E58)*(COLUMN('VBCCD BldgTypes'!$B$4:$Y$18))))-COLUMN($B$7)+1),"N/A VBCCD BldgTypes Table")</f>
        <v>ROOFING</v>
      </c>
      <c r="D58" s="694" t="str">
        <v>Roofing</v>
      </c>
      <c r="E58" s="694" t="str">
        <v>Roof Replacement</v>
      </c>
      <c r="F58" s="696">
        <v>48</v>
      </c>
      <c r="G58" s="696" t="str">
        <v>Yes</v>
      </c>
      <c r="H58" s="697" t="str">
        <v>Yes</v>
      </c>
      <c r="I58" s="698" t="str">
        <v>Yes</v>
      </c>
      <c r="J58" s="699" t="str">
        <v>Sq. Ft.</v>
      </c>
      <c r="K58" s="700" t="str">
        <v>2,843 - 422,170</v>
      </c>
      <c r="L58" s="701">
        <v>29936.5</v>
      </c>
      <c r="M58" s="702">
        <v>24.55502177403292</v>
      </c>
      <c r="N58" s="703"/>
    </row>
    <row r="59" spans="2:14" ht="15">
      <c r="B59" s="692">
        <v>67</v>
      </c>
      <c r="C59" s="704" t="str" cm="1">
        <f t="array" aca="1" ref="C59" ca="1">IFERROR(INDEX('VBCCD BldgTypes'!$B$3:$Y$3, SUMPRODUCT(MAX(('VBCCD BldgTypes'!$B$4:$Y$18=E59)*(COLUMN('VBCCD BldgTypes'!$B$4:$Y$18))))-COLUMN($B$7)+1),"N/A VBCCD BldgTypes Table")</f>
        <v>STUDENT CENTERS</v>
      </c>
      <c r="D59" s="705" t="str">
        <v>Student Centers</v>
      </c>
      <c r="E59" s="705" t="str">
        <v>New Student Centers</v>
      </c>
      <c r="F59" s="706">
        <v>9</v>
      </c>
      <c r="G59" s="706" t="str">
        <v>Yes</v>
      </c>
      <c r="H59" s="707" t="str">
        <v>Yes</v>
      </c>
      <c r="I59" s="708" t="str">
        <v>Yes</v>
      </c>
      <c r="J59" s="709" t="str">
        <v>Sq. Ft.</v>
      </c>
      <c r="K59" s="710" t="str">
        <v>6,800 - 177,362</v>
      </c>
      <c r="L59" s="711">
        <v>77500</v>
      </c>
      <c r="M59" s="712">
        <v>256.8718896850695</v>
      </c>
      <c r="N59" s="713"/>
    </row>
    <row r="60" spans="2:14" ht="15">
      <c r="B60" s="692">
        <v>68</v>
      </c>
      <c r="C60" s="693" t="str" cm="1">
        <f t="array" aca="1" ref="C60" ca="1">IFERROR(INDEX('VBCCD BldgTypes'!$B$3:$Y$3, SUMPRODUCT(MAX(('VBCCD BldgTypes'!$B$4:$Y$18=E60)*(COLUMN('VBCCD BldgTypes'!$B$4:$Y$18))))-COLUMN($B$7)+1),"N/A VBCCD BldgTypes Table")</f>
        <v>STUDENT CENTERS</v>
      </c>
      <c r="D60" s="694" t="str">
        <v>Ren Student Centers</v>
      </c>
      <c r="E60" s="694" t="str">
        <v>Ren Student Centers</v>
      </c>
      <c r="F60" s="696">
        <v>3</v>
      </c>
      <c r="G60" s="696" t="str">
        <v>Yes</v>
      </c>
      <c r="H60" s="697" t="str">
        <v>Yes</v>
      </c>
      <c r="I60" s="698" t="str">
        <v>Yes</v>
      </c>
      <c r="J60" s="699" t="str">
        <v>Sq. Ft.</v>
      </c>
      <c r="K60" s="700" t="str">
        <v>24,150 - 113,531</v>
      </c>
      <c r="L60" s="701">
        <v>44930</v>
      </c>
      <c r="M60" s="702">
        <v>157.20510300334558</v>
      </c>
      <c r="N60" s="703"/>
    </row>
    <row r="61" spans="2:14" ht="15">
      <c r="B61" s="692">
        <v>69</v>
      </c>
      <c r="C61" s="704" t="str" cm="1">
        <f t="array" aca="1" ref="C61" ca="1">IFERROR(INDEX('VBCCD BldgTypes'!$B$3:$Y$3, SUMPRODUCT(MAX(('VBCCD BldgTypes'!$B$4:$Y$18=E61)*(COLUMN('VBCCD BldgTypes'!$B$4:$Y$18))))-COLUMN($B$7)+1),"N/A VBCCD BldgTypes Table")</f>
        <v>THEATERS</v>
      </c>
      <c r="D61" s="705" t="str">
        <v>New Theaters</v>
      </c>
      <c r="E61" s="705" t="str">
        <v>New Theater</v>
      </c>
      <c r="F61" s="706">
        <v>6</v>
      </c>
      <c r="G61" s="706" t="str">
        <v>Yes</v>
      </c>
      <c r="H61" s="707" t="str">
        <v>Yes</v>
      </c>
      <c r="I61" s="708" t="str">
        <v>Yes</v>
      </c>
      <c r="J61" s="709" t="str">
        <v>Sq. Ft.</v>
      </c>
      <c r="K61" s="710" t="str">
        <v>5,063 - 41,983</v>
      </c>
      <c r="L61" s="711">
        <v>21119.5</v>
      </c>
      <c r="M61" s="712">
        <v>738.51481084817965</v>
      </c>
      <c r="N61" s="713"/>
    </row>
    <row r="62" spans="2:14" ht="15">
      <c r="B62" s="692">
        <v>71</v>
      </c>
      <c r="C62" s="693" t="str" cm="1">
        <f t="array" aca="1" ref="C62" ca="1">IFERROR(INDEX('VBCCD BldgTypes'!$B$3:$Y$3, SUMPRODUCT(MAX(('VBCCD BldgTypes'!$B$4:$Y$18=E62)*(COLUMN('VBCCD BldgTypes'!$B$4:$Y$18))))-COLUMN($B$7)+1),"N/A VBCCD BldgTypes Table")</f>
        <v>THEATERS</v>
      </c>
      <c r="D62" s="694" t="str">
        <v>Ren Theaters - M</v>
      </c>
      <c r="E62" s="694" t="str">
        <v>Ren. Theater - M</v>
      </c>
      <c r="F62" s="696">
        <v>2</v>
      </c>
      <c r="G62" s="696" t="str">
        <v>Yes</v>
      </c>
      <c r="H62" s="697" t="str">
        <v>Yes</v>
      </c>
      <c r="I62" s="698" t="str">
        <v>Yes</v>
      </c>
      <c r="J62" s="699" t="str">
        <v>Sq. Ft.</v>
      </c>
      <c r="K62" s="700" t="str">
        <v>27,600 - 40,000</v>
      </c>
      <c r="L62" s="701">
        <v>33800</v>
      </c>
      <c r="M62" s="702">
        <v>141.77112302682593</v>
      </c>
      <c r="N62" s="703"/>
    </row>
    <row r="63" spans="2:14" ht="15">
      <c r="B63" s="692">
        <v>72</v>
      </c>
      <c r="C63" s="704" t="str" cm="1">
        <f t="array" aca="1" ref="C63" ca="1">IFERROR(INDEX('VBCCD BldgTypes'!$B$3:$Y$3, SUMPRODUCT(MAX(('VBCCD BldgTypes'!$B$4:$Y$18=E63)*(COLUMN('VBCCD BldgTypes'!$B$4:$Y$18))))-COLUMN($B$7)+1),"N/A VBCCD BldgTypes Table")</f>
        <v>THEATERS</v>
      </c>
      <c r="D63" s="705" t="str">
        <v>Ren Theaters - H</v>
      </c>
      <c r="E63" s="705" t="str">
        <v>Ren. Theater - H</v>
      </c>
      <c r="F63" s="706">
        <v>4</v>
      </c>
      <c r="G63" s="706" t="str">
        <v>Yes</v>
      </c>
      <c r="H63" s="707" t="str">
        <v>Yes</v>
      </c>
      <c r="I63" s="708" t="str">
        <v>Yes</v>
      </c>
      <c r="J63" s="709" t="str">
        <v>Sq. Ft.</v>
      </c>
      <c r="K63" s="710" t="str">
        <v>3,500 - 122,955</v>
      </c>
      <c r="L63" s="711">
        <v>38264.5</v>
      </c>
      <c r="M63" s="712">
        <v>338.01087670008906</v>
      </c>
      <c r="N63" s="713"/>
    </row>
    <row r="64" spans="2:14" ht="15">
      <c r="B64" s="692">
        <v>73</v>
      </c>
      <c r="C64" s="693" t="str" cm="1">
        <f t="array" aca="1" ref="C64" ca="1">IFERROR(INDEX('VBCCD BldgTypes'!$B$3:$Y$3, SUMPRODUCT(MAX(('VBCCD BldgTypes'!$B$4:$Y$18=E64)*(COLUMN('VBCCD BldgTypes'!$B$4:$Y$18))))-COLUMN($B$7)+1),"N/A VBCCD BldgTypes Table")</f>
        <v>THEATERS</v>
      </c>
      <c r="D64" s="694" t="str">
        <v>Fine Arts Centers</v>
      </c>
      <c r="E64" s="694" t="str">
        <v>Fine Arts Center</v>
      </c>
      <c r="F64" s="696">
        <v>5</v>
      </c>
      <c r="G64" s="696" t="str">
        <v>Yes</v>
      </c>
      <c r="H64" s="697" t="str">
        <v>Yes</v>
      </c>
      <c r="I64" s="698" t="str">
        <v>Yes</v>
      </c>
      <c r="J64" s="699" t="str">
        <v>Sq. Ft.</v>
      </c>
      <c r="K64" s="700" t="str">
        <v>23,500 - 147,382</v>
      </c>
      <c r="L64" s="701">
        <v>60000</v>
      </c>
      <c r="M64" s="702">
        <v>521.50680529801321</v>
      </c>
      <c r="N64" s="703"/>
    </row>
    <row r="65" spans="2:14" ht="15">
      <c r="B65" s="692">
        <v>74</v>
      </c>
      <c r="C65" s="704" t="str" cm="1">
        <f t="array" aca="1" ref="C65" ca="1">IFERROR(INDEX('VBCCD BldgTypes'!$B$3:$Y$3, SUMPRODUCT(MAX(('VBCCD BldgTypes'!$B$4:$Y$18=E65)*(COLUMN('VBCCD BldgTypes'!$B$4:$Y$18))))-COLUMN($B$7)+1),"N/A VBCCD BldgTypes Table")</f>
        <v>THEATERS</v>
      </c>
      <c r="D65" s="705" t="str">
        <v>Performing Arts Centers</v>
      </c>
      <c r="E65" s="705" t="str">
        <v>Performing Arts Center</v>
      </c>
      <c r="F65" s="706">
        <v>6</v>
      </c>
      <c r="G65" s="706" t="str">
        <v>Yes</v>
      </c>
      <c r="H65" s="707" t="str">
        <v>Yes</v>
      </c>
      <c r="I65" s="708" t="str">
        <v>Yes</v>
      </c>
      <c r="J65" s="709" t="str">
        <v>Sq. Ft.</v>
      </c>
      <c r="K65" s="710" t="str">
        <v>48,158 - 212,935</v>
      </c>
      <c r="L65" s="711">
        <v>83027.5</v>
      </c>
      <c r="M65" s="712">
        <v>830.98198709403755</v>
      </c>
      <c r="N65" s="713"/>
    </row>
    <row r="66" spans="2:14" ht="15">
      <c r="B66" s="692">
        <v>83</v>
      </c>
      <c r="C66" s="693" t="str" cm="1">
        <f t="array" aca="1" ref="C66" ca="1">IFERROR(INDEX('VBCCD BldgTypes'!$B$3:$Y$3, SUMPRODUCT(MAX(('VBCCD BldgTypes'!$B$4:$Y$18=E66)*(COLUMN('VBCCD BldgTypes'!$B$4:$Y$18))))-COLUMN($B$7)+1),"N/A VBCCD BldgTypes Table")</f>
        <v>Other</v>
      </c>
      <c r="D66" s="694" t="str">
        <v>Shooting Range</v>
      </c>
      <c r="E66" s="694" t="str">
        <v>Shooting Range</v>
      </c>
      <c r="F66" s="696">
        <v>2</v>
      </c>
      <c r="G66" s="696" t="str">
        <v>Yes</v>
      </c>
      <c r="H66" s="697" t="str">
        <v>Yes</v>
      </c>
      <c r="I66" s="698" t="str">
        <v>Yes</v>
      </c>
      <c r="J66" s="699" t="str">
        <v>Sq. Ft.</v>
      </c>
      <c r="K66" s="700" t="str">
        <v>10,000 - 20,976</v>
      </c>
      <c r="L66" s="701">
        <v>15488</v>
      </c>
      <c r="M66" s="702">
        <v>260.37174891223663</v>
      </c>
      <c r="N66" s="703"/>
    </row>
    <row r="67" spans="2:14" ht="15">
      <c r="B67" s="692">
        <v>84</v>
      </c>
      <c r="C67" s="693" t="str" cm="1">
        <f t="array" aca="1" ref="C67" ca="1">IFERROR(INDEX('VBCCD BldgTypes'!$B$3:$Y$3, SUMPRODUCT(MAX(('VBCCD BldgTypes'!$B$4:$Y$18=E67)*(COLUMN('VBCCD BldgTypes'!$B$4:$Y$18))))-COLUMN($B$7)+1),"N/A VBCCD BldgTypes Table")</f>
        <v>Other</v>
      </c>
      <c r="D67" s="694" t="str">
        <v>Oyster Hatcheries</v>
      </c>
      <c r="E67" s="694" t="str">
        <v>Oyster Hatcheries</v>
      </c>
      <c r="F67" s="696">
        <v>3</v>
      </c>
      <c r="G67" s="696" t="str">
        <v>Yes</v>
      </c>
      <c r="H67" s="697" t="str">
        <v>Yes</v>
      </c>
      <c r="I67" s="698" t="str">
        <v>Yes</v>
      </c>
      <c r="J67" s="699" t="str">
        <v>Sq. Ft.</v>
      </c>
      <c r="K67" s="700" t="str">
        <v>11,704 - 62,800</v>
      </c>
      <c r="L67" s="701">
        <v>19693</v>
      </c>
      <c r="M67" s="702">
        <v>1184.4789083363892</v>
      </c>
      <c r="N67" s="703"/>
    </row>
    <row r="68" spans="2:14" ht="15">
      <c r="B68" s="692">
        <v>85</v>
      </c>
      <c r="C68" s="693" t="str" cm="1">
        <f t="array" aca="1" ref="C68" ca="1">IFERROR(INDEX('VBCCD BldgTypes'!$B$3:$Y$3, SUMPRODUCT(MAX(('VBCCD BldgTypes'!$B$4:$Y$18=E68)*(COLUMN('VBCCD BldgTypes'!$B$4:$Y$18))))-COLUMN($B$7)+1),"N/A VBCCD BldgTypes Table")</f>
        <v>Other</v>
      </c>
      <c r="D68" s="694" t="str">
        <v>New Police Station</v>
      </c>
      <c r="E68" s="694" t="str">
        <v>New Police Station</v>
      </c>
      <c r="F68" s="696">
        <v>6</v>
      </c>
      <c r="G68" s="696" t="str">
        <v>Yes</v>
      </c>
      <c r="H68" s="697" t="str">
        <v>Yes</v>
      </c>
      <c r="I68" s="698" t="str">
        <v>Yes</v>
      </c>
      <c r="J68" s="699" t="str">
        <v>Sq. Ft.</v>
      </c>
      <c r="K68" s="700" t="str">
        <v>1,933 - 97,866</v>
      </c>
      <c r="L68" s="701">
        <v>15700</v>
      </c>
      <c r="M68" s="702">
        <v>399.55224419963747</v>
      </c>
      <c r="N68" s="703"/>
    </row>
    <row r="69" spans="2:14" ht="15">
      <c r="B69" s="692">
        <v>86</v>
      </c>
      <c r="C69" s="693" t="str" cm="1">
        <f t="array" aca="1" ref="C69" ca="1">IFERROR(INDEX('VBCCD BldgTypes'!$B$3:$Y$3, SUMPRODUCT(MAX(('VBCCD BldgTypes'!$B$4:$Y$18=E69)*(COLUMN('VBCCD BldgTypes'!$B$4:$Y$18))))-COLUMN($B$7)+1),"N/A VBCCD BldgTypes Table")</f>
        <v>Other</v>
      </c>
      <c r="D69" s="694" t="str">
        <v>Ranger Residence (St. Park)</v>
      </c>
      <c r="E69" s="694" t="str">
        <v>Ranger Residence (St. Park)</v>
      </c>
      <c r="F69" s="696">
        <v>6</v>
      </c>
      <c r="G69" s="696" t="str">
        <v>Yes</v>
      </c>
      <c r="H69" s="697" t="str">
        <v>Yes</v>
      </c>
      <c r="I69" s="698" t="str">
        <v>Yes</v>
      </c>
      <c r="J69" s="699" t="str">
        <v>Sq. Ft.</v>
      </c>
      <c r="K69" s="700" t="str">
        <v>1,463 - 2,926</v>
      </c>
      <c r="L69" s="701">
        <v>1540.5</v>
      </c>
      <c r="M69" s="702">
        <v>344.8351856512495</v>
      </c>
      <c r="N69" s="703"/>
    </row>
    <row r="70" spans="2:14" ht="15">
      <c r="B70" s="692">
        <v>87</v>
      </c>
      <c r="C70" s="693" t="str" cm="1">
        <f t="array" aca="1" ref="C70" ca="1">IFERROR(INDEX('VBCCD BldgTypes'!$B$3:$Y$3, SUMPRODUCT(MAX(('VBCCD BldgTypes'!$B$4:$Y$18=E70)*(COLUMN('VBCCD BldgTypes'!$B$4:$Y$18))))-COLUMN($B$7)+1),"N/A VBCCD BldgTypes Table")</f>
        <v>Other</v>
      </c>
      <c r="D70" s="694" t="str">
        <v>Cabin Complex (St. Park)</v>
      </c>
      <c r="E70" s="694" t="str">
        <v>New Cabin Complex (St. Park)</v>
      </c>
      <c r="F70" s="696">
        <v>17</v>
      </c>
      <c r="G70" s="696" t="str">
        <v>Yes</v>
      </c>
      <c r="H70" s="697" t="str">
        <v>Yes</v>
      </c>
      <c r="I70" s="698" t="str">
        <v>Yes</v>
      </c>
      <c r="J70" s="699" t="str">
        <v>Sq. Ft.</v>
      </c>
      <c r="K70" s="700" t="str">
        <v>912 - 23,816</v>
      </c>
      <c r="L70" s="701">
        <v>4968</v>
      </c>
      <c r="M70" s="702">
        <v>338.27692654081795</v>
      </c>
      <c r="N70" s="703"/>
    </row>
    <row r="71" spans="2:14" ht="15">
      <c r="B71" s="692">
        <v>88</v>
      </c>
      <c r="C71" s="693" t="str" cm="1">
        <f t="array" aca="1" ref="C71" ca="1">IFERROR(INDEX('VBCCD BldgTypes'!$B$3:$Y$3, SUMPRODUCT(MAX(('VBCCD BldgTypes'!$B$4:$Y$18=E71)*(COLUMN('VBCCD BldgTypes'!$B$4:$Y$18))))-COLUMN($B$7)+1),"N/A VBCCD BldgTypes Table")</f>
        <v>Other</v>
      </c>
      <c r="D71" s="694" t="str">
        <v>Reno. -Cabin Complex (St. Park)</v>
      </c>
      <c r="E71" s="694" t="str">
        <v>Reno. -Cabin Complex (St. Park)</v>
      </c>
      <c r="F71" s="696">
        <v>4</v>
      </c>
      <c r="G71" s="696" t="str">
        <v>Yes</v>
      </c>
      <c r="H71" s="697" t="str">
        <v>Yes</v>
      </c>
      <c r="I71" s="698" t="str">
        <v>Yes</v>
      </c>
      <c r="J71" s="699" t="str">
        <v>Sq. Ft.</v>
      </c>
      <c r="K71" s="700" t="str">
        <v>17,360 - 30,976</v>
      </c>
      <c r="L71" s="701">
        <v>21238</v>
      </c>
      <c r="M71" s="702">
        <v>361.55932923670133</v>
      </c>
      <c r="N71" s="703"/>
    </row>
    <row r="72" spans="2:14" ht="15">
      <c r="B72" s="692">
        <v>93</v>
      </c>
      <c r="C72" s="693" t="str" cm="1">
        <f t="array" aca="1" ref="C72" ca="1">IFERROR(INDEX('VBCCD BldgTypes'!$B$3:$Y$3, SUMPRODUCT(MAX(('VBCCD BldgTypes'!$B$4:$Y$18=E72)*(COLUMN('VBCCD BldgTypes'!$B$4:$Y$18))))-COLUMN($B$7)+1),"N/A VBCCD BldgTypes Table")</f>
        <v>Other</v>
      </c>
      <c r="D72" s="694" t="str">
        <v>Bathhouse (St. Park)</v>
      </c>
      <c r="E72" s="694" t="str">
        <v>Bathhouse (St. Park)</v>
      </c>
      <c r="F72" s="696">
        <v>4</v>
      </c>
      <c r="G72" s="696" t="str">
        <v>Yes</v>
      </c>
      <c r="H72" s="697" t="str">
        <v>Yes</v>
      </c>
      <c r="I72" s="698" t="str">
        <v>Yes</v>
      </c>
      <c r="J72" s="699" t="str">
        <v>Sq. Ft.</v>
      </c>
      <c r="K72" s="700" t="str">
        <v>204 - 3,528</v>
      </c>
      <c r="L72" s="701">
        <v>1962.5</v>
      </c>
      <c r="M72" s="702">
        <v>601.17617617324242</v>
      </c>
      <c r="N72" s="703"/>
    </row>
    <row r="73" spans="2:14" ht="15">
      <c r="B73" s="692">
        <v>98</v>
      </c>
      <c r="C73" s="693" t="str" cm="1">
        <f t="array" aca="1" ref="C73" ca="1">IFERROR(INDEX('VBCCD BldgTypes'!$B$3:$Y$3, SUMPRODUCT(MAX(('VBCCD BldgTypes'!$B$4:$Y$18=E73)*(COLUMN('VBCCD BldgTypes'!$B$4:$Y$18))))-COLUMN($B$7)+1),"N/A VBCCD BldgTypes Table")</f>
        <v>Other</v>
      </c>
      <c r="D73" s="694" t="str">
        <v>New Vocational Labs</v>
      </c>
      <c r="E73" s="694" t="str">
        <v>New Vocational Labs</v>
      </c>
      <c r="F73" s="696">
        <v>4</v>
      </c>
      <c r="G73" s="696" t="str">
        <v>Yes</v>
      </c>
      <c r="H73" s="697" t="str">
        <v>Yes</v>
      </c>
      <c r="I73" s="698" t="str">
        <v>Yes</v>
      </c>
      <c r="J73" s="699" t="str">
        <v>Sq. Ft.</v>
      </c>
      <c r="K73" s="700" t="str">
        <v>24,000 - 60,000</v>
      </c>
      <c r="L73" s="701">
        <v>28072.5</v>
      </c>
      <c r="M73" s="702">
        <v>480.25462300928302</v>
      </c>
      <c r="N73" s="703"/>
    </row>
    <row r="74" spans="2:14" ht="15">
      <c r="B74" s="692">
        <v>98</v>
      </c>
      <c r="C74" s="693" t="str" cm="1">
        <f t="array" aca="1" ref="C74" ca="1">IFERROR(INDEX('VBCCD BldgTypes'!$B$3:$Y$3, SUMPRODUCT(MAX(('VBCCD BldgTypes'!$B$4:$Y$18=E74)*(COLUMN('VBCCD BldgTypes'!$B$4:$Y$18))))-COLUMN($B$7)+1),"N/A VBCCD BldgTypes Table")</f>
        <v>Other</v>
      </c>
      <c r="D74" s="694" t="str">
        <v>New Vocational Labs</v>
      </c>
      <c r="E74" s="694" t="str">
        <v>New Vocational Labs</v>
      </c>
      <c r="F74" s="696">
        <v>4</v>
      </c>
      <c r="G74" s="696" t="str">
        <v>Yes</v>
      </c>
      <c r="H74" s="697" t="str">
        <v>Yes</v>
      </c>
      <c r="I74" s="698" t="str">
        <v>Yes</v>
      </c>
      <c r="J74" s="699" t="str">
        <v>Sq. Ft.</v>
      </c>
      <c r="K74" s="700" t="str">
        <v>24,000 - 60,000</v>
      </c>
      <c r="L74" s="701">
        <v>28072.5</v>
      </c>
      <c r="M74" s="702">
        <v>480.25462300928302</v>
      </c>
      <c r="N74" s="703"/>
    </row>
    <row r="75" spans="2:14" ht="15">
      <c r="B75" s="692">
        <v>99</v>
      </c>
      <c r="C75" s="693" t="str" cm="1">
        <f t="array" aca="1" ref="C75" ca="1">IFERROR(INDEX('VBCCD BldgTypes'!$B$3:$Y$3, SUMPRODUCT(MAX(('VBCCD BldgTypes'!$B$4:$Y$18=E75)*(COLUMN('VBCCD BldgTypes'!$B$4:$Y$18))))-COLUMN($B$7)+1),"N/A VBCCD BldgTypes Table")</f>
        <v>Other</v>
      </c>
      <c r="D75" s="694" t="str">
        <v>Maintenance Buildings</v>
      </c>
      <c r="E75" s="694" t="str">
        <v>Maintenance Buildings</v>
      </c>
      <c r="F75" s="696">
        <v>16</v>
      </c>
      <c r="G75" s="696" t="str">
        <v>Yes</v>
      </c>
      <c r="H75" s="697" t="str">
        <v>Yes</v>
      </c>
      <c r="I75" s="698" t="str">
        <v>Yes</v>
      </c>
      <c r="J75" s="699" t="str">
        <v>Sq. Ft.</v>
      </c>
      <c r="K75" s="700" t="str">
        <v>4,200 - 32,560</v>
      </c>
      <c r="L75" s="701">
        <v>7490</v>
      </c>
      <c r="M75" s="702">
        <v>362.16985222917384</v>
      </c>
      <c r="N75" s="703"/>
    </row>
    <row r="76" spans="2:14" ht="15">
      <c r="B76" s="692">
        <v>96</v>
      </c>
      <c r="C76" s="693" t="str" cm="1">
        <f t="array" aca="1" ref="C76" ca="1">IFERROR(INDEX('VBCCD BldgTypes'!$B$3:$Y$3, SUMPRODUCT(MAX(('VBCCD BldgTypes'!$B$4:$Y$18=E76)*(COLUMN('VBCCD BldgTypes'!$B$4:$Y$18))))-COLUMN($B$7)+1),"N/A VBCCD BldgTypes Table")</f>
        <v>Other</v>
      </c>
      <c r="D76" s="694" t="str">
        <v>Equipment - Labs</v>
      </c>
      <c r="E76" s="694" t="str">
        <v>Equipment - Labs</v>
      </c>
      <c r="F76" s="696">
        <v>7</v>
      </c>
      <c r="G76" s="696" t="str">
        <v>Yes</v>
      </c>
      <c r="H76" s="697" t="str">
        <v>Yes</v>
      </c>
      <c r="I76" s="698" t="str">
        <v>Yes</v>
      </c>
      <c r="J76" s="699" t="str">
        <v>Sq. Ft.</v>
      </c>
      <c r="K76" s="700" t="str">
        <v>33,400 - 128,000</v>
      </c>
      <c r="L76" s="701">
        <v>73738</v>
      </c>
      <c r="M76" s="702">
        <v>52.867386036679861</v>
      </c>
      <c r="N76" s="703"/>
    </row>
    <row r="77" spans="2:14" ht="15">
      <c r="B77" s="692">
        <v>95</v>
      </c>
      <c r="C77" s="693" t="str" cm="1">
        <f t="array" aca="1" ref="C77" ca="1">IFERROR(INDEX('VBCCD BldgTypes'!$B$3:$Y$3, SUMPRODUCT(MAX(('VBCCD BldgTypes'!$B$4:$Y$18=E77)*(COLUMN('VBCCD BldgTypes'!$B$4:$Y$18))))-COLUMN($B$7)+1),"N/A VBCCD BldgTypes Table")</f>
        <v>Other</v>
      </c>
      <c r="D77" s="694" t="str">
        <v>Fire Alarm</v>
      </c>
      <c r="E77" s="694" t="str">
        <v>Fire Alarm (including Demo &amp; Restoring Finishes)</v>
      </c>
      <c r="F77" s="696">
        <v>19</v>
      </c>
      <c r="G77" s="696" t="str">
        <v>Yes</v>
      </c>
      <c r="H77" s="697" t="str">
        <v>Yes</v>
      </c>
      <c r="I77" s="698" t="str">
        <v>Yes</v>
      </c>
      <c r="J77" s="699" t="str">
        <v>Sq. Ft.</v>
      </c>
      <c r="K77" s="700" t="str">
        <v>18,144 - 554,763</v>
      </c>
      <c r="L77" s="701">
        <v>105700</v>
      </c>
      <c r="M77" s="702">
        <v>13.428335692060376</v>
      </c>
      <c r="N77" s="703"/>
    </row>
    <row r="78" spans="2:14" ht="15">
      <c r="B78" s="692">
        <v>80</v>
      </c>
      <c r="C78" s="693" t="str" cm="1">
        <f t="array" aca="1" ref="C78" ca="1">IFERROR(INDEX('VBCCD BldgTypes'!$B$3:$Y$3, SUMPRODUCT(MAX(('VBCCD BldgTypes'!$B$4:$Y$18=E78)*(COLUMN('VBCCD BldgTypes'!$B$4:$Y$18))))-COLUMN($B$7)+1),"N/A VBCCD BldgTypes Table")</f>
        <v>UNIVERSITY WELCOME CENTERS</v>
      </c>
      <c r="D78" s="694" t="str">
        <v>Visitors Centers</v>
      </c>
      <c r="E78" s="694" t="str">
        <v>Visitor's Centers</v>
      </c>
      <c r="F78" s="696">
        <v>13</v>
      </c>
      <c r="G78" s="696" t="str">
        <v>Yes</v>
      </c>
      <c r="H78" s="697" t="str">
        <v>Yes</v>
      </c>
      <c r="I78" s="698" t="str">
        <v>Yes</v>
      </c>
      <c r="J78" s="699" t="str">
        <v>Sq. Ft.</v>
      </c>
      <c r="K78" s="700" t="str">
        <v>3,264 - 39,103</v>
      </c>
      <c r="L78" s="701">
        <v>4463</v>
      </c>
      <c r="M78" s="702">
        <v>278.13831516021736</v>
      </c>
      <c r="N78" s="703"/>
    </row>
    <row r="79" spans="2:14" ht="15">
      <c r="B79" s="692">
        <v>75</v>
      </c>
      <c r="C79" s="693" t="str" cm="1">
        <f t="array" aca="1" ref="C79" ca="1">IFERROR(INDEX('VBCCD BldgTypes'!$B$3:$Y$3, SUMPRODUCT(MAX(('VBCCD BldgTypes'!$B$4:$Y$18=E79)*(COLUMN('VBCCD BldgTypes'!$B$4:$Y$18))))-COLUMN($B$7)+1),"N/A VBCCD BldgTypes Table")</f>
        <v>N/A VBCCD BldgTypes Table</v>
      </c>
      <c r="D79" s="694" t="str">
        <v>WWTP</v>
      </c>
      <c r="E79" s="694" t="str">
        <v>WWTP:</v>
      </c>
      <c r="F79" s="696">
        <v>0</v>
      </c>
      <c r="G79" s="696" t="str">
        <v>Yes</v>
      </c>
      <c r="H79" s="697" t="str">
        <v>Yes</v>
      </c>
      <c r="I79" s="698" t="str">
        <v>CALL -
(SLIDING SCALE)</v>
      </c>
      <c r="J79" s="699">
        <v>0</v>
      </c>
      <c r="K79" s="700" t="str">
        <v/>
      </c>
      <c r="L79" s="701" t="str">
        <v/>
      </c>
      <c r="M79" s="702">
        <v>0</v>
      </c>
      <c r="N79" s="703"/>
    </row>
  </sheetData>
  <sheetProtection algorithmName="SHA-512" hashValue="0UgUEU5cYP47Rb2T//TP93SlzcoCe+lSTZ4QYryFRljVaUMtB1TObB7/xIc3r/fKL/vi7P9Nr1gDwHgpzmWv7g==" saltValue="hWofxcGEPYWKzO3UtnFinQ==" spinCount="100000" sheet="1" autoFilter="0"/>
  <conditionalFormatting sqref="B8:M79">
    <cfRule type="expression" dxfId="112" priority="19">
      <formula>CELL("ROW")=ROW()</formula>
    </cfRule>
  </conditionalFormatting>
  <conditionalFormatting sqref="C8:C79">
    <cfRule type="expression" dxfId="111" priority="5">
      <formula>$C8=$C7</formula>
    </cfRule>
    <cfRule type="expression" dxfId="110" priority="6">
      <formula>$C8&lt;&gt;$C7</formula>
    </cfRule>
  </conditionalFormatting>
  <conditionalFormatting sqref="C16">
    <cfRule type="expression" dxfId="109" priority="58">
      <formula>$C16=$C14</formula>
    </cfRule>
    <cfRule type="expression" dxfId="108" priority="59">
      <formula>$C16&lt;&gt;$C14</formula>
    </cfRule>
  </conditionalFormatting>
  <conditionalFormatting sqref="C17 C37 C47">
    <cfRule type="expression" dxfId="107" priority="52">
      <formula>$C17=#REF!</formula>
    </cfRule>
    <cfRule type="expression" dxfId="106" priority="53">
      <formula>$C17&lt;&gt;#REF!</formula>
    </cfRule>
  </conditionalFormatting>
  <conditionalFormatting sqref="F8:F79">
    <cfRule type="expression" dxfId="105" priority="24">
      <formula>MOD(F8,2)=0</formula>
    </cfRule>
  </conditionalFormatting>
  <conditionalFormatting sqref="T9:T28">
    <cfRule type="expression" dxfId="104" priority="4">
      <formula>$T9&lt;&gt;$R9</formula>
    </cfRule>
  </conditionalFormatting>
  <dataValidations disablePrompts="1" count="3">
    <dataValidation type="list" allowBlank="1" showInputMessage="1" showErrorMessage="1" sqref="J8:J66" xr:uid="{537CA34E-7B3C-4BB6-89D0-978889B66673}">
      <formula1>QttyUnit</formula1>
    </dataValidation>
    <dataValidation type="list" allowBlank="1" showInputMessage="1" showErrorMessage="1" sqref="H8:I66" xr:uid="{E08CC934-6C79-4849-AC0F-452613E3E194}">
      <formula1>"Yes, No"</formula1>
    </dataValidation>
    <dataValidation type="list" allowBlank="1" showInputMessage="1" showErrorMessage="1" sqref="G8:G66" xr:uid="{CF8F4F3D-CDB5-4D8A-BE5D-8E0D133870B2}">
      <formula1>"Yes, Review Needed, No, Not Required"</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9C8B8-C338-4D52-8E6A-E1B529272ADE}">
  <sheetPr codeName="Sheet31" filterMode="1">
    <tabColor rgb="FFFF0000"/>
    <pageSetUpPr fitToPage="1"/>
  </sheetPr>
  <dimension ref="A1:AS147"/>
  <sheetViews>
    <sheetView showGridLines="0" zoomScale="80" zoomScaleNormal="80" workbookViewId="0">
      <selection activeCell="E11" sqref="E11"/>
    </sheetView>
  </sheetViews>
  <sheetFormatPr defaultColWidth="9.140625" defaultRowHeight="12.75" customHeight="1" outlineLevelRow="1" outlineLevelCol="2"/>
  <cols>
    <col min="1" max="1" width="12.28515625" style="50" customWidth="1"/>
    <col min="2" max="2" width="48.42578125" style="50" customWidth="1" outlineLevel="1"/>
    <col min="3" max="3" width="22.5703125" style="50" customWidth="1" outlineLevel="1"/>
    <col min="4" max="4" width="81.7109375" style="50" customWidth="1" outlineLevel="1"/>
    <col min="5" max="6" width="34.28515625" style="50" customWidth="1" outlineLevel="1"/>
    <col min="7" max="7" width="18.85546875" style="50" customWidth="1" outlineLevel="1"/>
    <col min="8" max="8" width="9.42578125" style="50" customWidth="1"/>
    <col min="9" max="9" width="77.85546875" style="50" customWidth="1"/>
    <col min="10" max="11" width="26.28515625" style="50" customWidth="1"/>
    <col min="12" max="12" width="39.5703125" style="50" customWidth="1" outlineLevel="1"/>
    <col min="13" max="13" width="22.7109375" style="50" customWidth="1"/>
    <col min="14" max="14" width="24.7109375" style="50" customWidth="1"/>
    <col min="15" max="15" width="24.140625" style="50" hidden="1" customWidth="1" outlineLevel="2"/>
    <col min="16" max="16" width="21.7109375" style="50" hidden="1" customWidth="1" outlineLevel="2"/>
    <col min="17" max="17" width="22.85546875" style="50" hidden="1" customWidth="1" outlineLevel="2"/>
    <col min="18" max="18" width="25.5703125" style="50" hidden="1" customWidth="1" outlineLevel="2"/>
    <col min="19" max="19" width="18.5703125" style="50" hidden="1" customWidth="1" outlineLevel="2"/>
    <col min="20" max="20" width="18.28515625" style="50" hidden="1" customWidth="1" outlineLevel="2"/>
    <col min="21" max="21" width="23.140625" style="50" hidden="1" customWidth="1" outlineLevel="2"/>
    <col min="22" max="24" width="21.7109375" style="50" hidden="1" customWidth="1" outlineLevel="2"/>
    <col min="25" max="25" width="17" style="50" hidden="1" customWidth="1" outlineLevel="2"/>
    <col min="26" max="26" width="15" style="50" hidden="1" customWidth="1" outlineLevel="2"/>
    <col min="27" max="27" width="19.140625" style="50" hidden="1" customWidth="1" outlineLevel="2"/>
    <col min="28" max="28" width="17.140625" style="50" hidden="1" customWidth="1" outlineLevel="2"/>
    <col min="29" max="30" width="21.7109375" style="50" hidden="1" customWidth="1" outlineLevel="2"/>
    <col min="31" max="31" width="23.140625" style="50" hidden="1" customWidth="1" outlineLevel="2"/>
    <col min="32" max="32" width="24.85546875" style="50" hidden="1" customWidth="1" outlineLevel="2"/>
    <col min="33" max="33" width="21.7109375" style="50" hidden="1" customWidth="1" outlineLevel="2"/>
    <col min="34" max="34" width="25.28515625" style="50" hidden="1" customWidth="1" outlineLevel="2"/>
    <col min="35" max="36" width="21.7109375" style="50" hidden="1" customWidth="1" outlineLevel="2"/>
    <col min="37" max="37" width="23.140625" style="50" hidden="1" customWidth="1" outlineLevel="2"/>
    <col min="38" max="38" width="21.7109375" style="50" hidden="1" customWidth="1" outlineLevel="2"/>
    <col min="39" max="39" width="21.7109375" style="50" customWidth="1" collapsed="1"/>
    <col min="40" max="45" width="21.7109375" style="50" customWidth="1"/>
    <col min="46" max="50" width="9.140625" style="50" customWidth="1"/>
    <col min="51" max="16384" width="9.140625" style="50"/>
  </cols>
  <sheetData>
    <row r="1" spans="1:45" ht="12.75" customHeight="1" thickBot="1">
      <c r="A1" s="502"/>
      <c r="B1" s="503"/>
      <c r="C1" s="503"/>
      <c r="D1" s="504"/>
      <c r="E1" s="504"/>
      <c r="F1" s="504"/>
      <c r="G1" s="504"/>
      <c r="H1" s="505"/>
      <c r="I1" s="505"/>
      <c r="J1" s="505"/>
      <c r="K1" s="505"/>
      <c r="L1" s="505"/>
      <c r="M1" s="505"/>
      <c r="N1" s="506"/>
      <c r="O1" s="507"/>
      <c r="P1" s="790"/>
      <c r="Q1" s="790" t="s">
        <v>32</v>
      </c>
      <c r="R1" s="508"/>
      <c r="S1" s="509"/>
      <c r="T1" s="509"/>
      <c r="U1" s="509"/>
      <c r="V1" s="509"/>
      <c r="W1" s="509"/>
      <c r="X1" s="509"/>
      <c r="Y1" s="509"/>
      <c r="Z1" s="509"/>
      <c r="AA1" s="509"/>
      <c r="AB1" s="509"/>
      <c r="AC1" s="509"/>
      <c r="AD1" s="509"/>
      <c r="AE1" s="509"/>
      <c r="AF1" s="509"/>
      <c r="AG1" s="510"/>
      <c r="AH1" s="509"/>
      <c r="AI1" s="509"/>
      <c r="AJ1" s="509"/>
      <c r="AK1" s="509"/>
      <c r="AL1" s="509"/>
      <c r="AM1" s="503"/>
      <c r="AN1" s="758"/>
      <c r="AO1" s="758"/>
      <c r="AP1" s="503"/>
      <c r="AQ1" s="503"/>
      <c r="AR1" s="503"/>
      <c r="AS1" s="503"/>
    </row>
    <row r="2" spans="1:45" ht="117.75" customHeight="1" thickTop="1" thickBot="1">
      <c r="A2" s="502"/>
      <c r="B2" s="503"/>
      <c r="C2" s="717" t="s">
        <v>677</v>
      </c>
      <c r="D2" s="511"/>
      <c r="E2" s="511"/>
      <c r="F2" s="511"/>
      <c r="G2" s="504"/>
      <c r="H2" s="512" t="s">
        <v>678</v>
      </c>
      <c r="I2" s="513" t="s">
        <v>679</v>
      </c>
      <c r="J2" s="513"/>
      <c r="K2" s="514"/>
      <c r="L2" s="515"/>
      <c r="M2" s="516"/>
      <c r="N2" s="514"/>
      <c r="O2" s="734" t="s">
        <v>680</v>
      </c>
      <c r="P2" s="734" t="s">
        <v>681</v>
      </c>
      <c r="Q2" s="735" t="s">
        <v>682</v>
      </c>
      <c r="R2" s="736"/>
      <c r="S2" s="736"/>
      <c r="T2" s="736"/>
      <c r="U2" s="736"/>
      <c r="V2" s="736"/>
      <c r="W2" s="736"/>
      <c r="X2" s="984" t="s">
        <v>683</v>
      </c>
      <c r="Y2" s="984"/>
      <c r="Z2" s="984"/>
      <c r="AA2" s="984"/>
      <c r="AB2" s="984"/>
      <c r="AC2" s="984"/>
      <c r="AD2" s="984"/>
      <c r="AE2" s="984"/>
      <c r="AF2" s="984"/>
      <c r="AG2" s="984"/>
      <c r="AH2" s="736"/>
      <c r="AI2" s="736"/>
      <c r="AJ2" s="736"/>
      <c r="AK2" s="736"/>
      <c r="AL2" s="1216"/>
      <c r="AM2" s="503"/>
      <c r="AN2" s="758"/>
      <c r="AO2" s="758"/>
      <c r="AP2" s="503"/>
      <c r="AQ2" s="503"/>
      <c r="AR2" s="503"/>
      <c r="AS2" s="503"/>
    </row>
    <row r="3" spans="1:45" ht="22.5" hidden="1" customHeight="1" outlineLevel="1" thickTop="1">
      <c r="A3" s="517"/>
      <c r="B3" s="518"/>
      <c r="C3" s="518"/>
      <c r="D3" s="519"/>
      <c r="E3" s="519"/>
      <c r="F3" s="519"/>
      <c r="G3" s="519"/>
      <c r="H3" s="985">
        <v>46146</v>
      </c>
      <c r="I3" s="986"/>
      <c r="J3" s="520"/>
      <c r="K3" s="520"/>
      <c r="L3" s="521"/>
      <c r="M3" s="520"/>
      <c r="N3" s="522" t="s">
        <v>32</v>
      </c>
      <c r="O3" s="523"/>
      <c r="P3" s="987" t="s">
        <v>684</v>
      </c>
      <c r="Q3" s="988"/>
      <c r="R3" s="524"/>
      <c r="S3" s="790"/>
      <c r="T3" s="790"/>
      <c r="U3" s="790"/>
      <c r="V3" s="790"/>
      <c r="W3" s="790"/>
      <c r="X3" s="790"/>
      <c r="Y3" s="790"/>
      <c r="Z3" s="790"/>
      <c r="AA3" s="790"/>
      <c r="AB3" s="790"/>
      <c r="AC3" s="790"/>
      <c r="AD3" s="790"/>
      <c r="AE3" s="790"/>
      <c r="AF3" s="790"/>
      <c r="AG3" s="790"/>
      <c r="AH3" s="790"/>
      <c r="AI3" s="790"/>
      <c r="AJ3" s="790"/>
      <c r="AK3" s="790"/>
      <c r="AL3" s="525"/>
      <c r="AM3" s="526"/>
      <c r="AN3" s="758"/>
      <c r="AO3" s="758"/>
      <c r="AP3" s="518"/>
      <c r="AQ3" s="518"/>
      <c r="AR3" s="518"/>
      <c r="AS3" s="518"/>
    </row>
    <row r="4" spans="1:45" ht="38.25" hidden="1" customHeight="1" outlineLevel="1" thickBot="1">
      <c r="A4" s="502"/>
      <c r="B4" s="503"/>
      <c r="C4" s="503"/>
      <c r="D4" s="504"/>
      <c r="E4" s="504"/>
      <c r="F4" s="504"/>
      <c r="G4" s="504"/>
      <c r="H4" s="989" t="str">
        <f>"Rates per "&amp;TEXT(DATE(YEAR(H3),1,1),"MM/DD/yyyy")</f>
        <v>Rates per 01/01/2026</v>
      </c>
      <c r="I4" s="990"/>
      <c r="J4" s="505"/>
      <c r="K4" s="505"/>
      <c r="L4" s="505"/>
      <c r="M4" s="505"/>
      <c r="N4" s="527" t="s">
        <v>685</v>
      </c>
      <c r="O4" s="528"/>
      <c r="P4" s="529">
        <v>1</v>
      </c>
      <c r="Q4" s="529">
        <f>P4+1</f>
        <v>2</v>
      </c>
      <c r="R4" s="529">
        <f t="shared" ref="R4:AL4" si="0">Q4+1</f>
        <v>3</v>
      </c>
      <c r="S4" s="529">
        <f t="shared" si="0"/>
        <v>4</v>
      </c>
      <c r="T4" s="529">
        <f t="shared" si="0"/>
        <v>5</v>
      </c>
      <c r="U4" s="529">
        <f t="shared" si="0"/>
        <v>6</v>
      </c>
      <c r="V4" s="529">
        <f t="shared" si="0"/>
        <v>7</v>
      </c>
      <c r="W4" s="529">
        <f t="shared" si="0"/>
        <v>8</v>
      </c>
      <c r="X4" s="529">
        <f t="shared" si="0"/>
        <v>9</v>
      </c>
      <c r="Y4" s="529">
        <f t="shared" si="0"/>
        <v>10</v>
      </c>
      <c r="Z4" s="529">
        <f t="shared" si="0"/>
        <v>11</v>
      </c>
      <c r="AA4" s="529">
        <f t="shared" si="0"/>
        <v>12</v>
      </c>
      <c r="AB4" s="529">
        <f t="shared" si="0"/>
        <v>13</v>
      </c>
      <c r="AC4" s="529">
        <f t="shared" si="0"/>
        <v>14</v>
      </c>
      <c r="AD4" s="529">
        <f t="shared" si="0"/>
        <v>15</v>
      </c>
      <c r="AE4" s="529">
        <f t="shared" si="0"/>
        <v>16</v>
      </c>
      <c r="AF4" s="529">
        <f t="shared" si="0"/>
        <v>17</v>
      </c>
      <c r="AG4" s="529">
        <f t="shared" si="0"/>
        <v>18</v>
      </c>
      <c r="AH4" s="529">
        <f t="shared" si="0"/>
        <v>19</v>
      </c>
      <c r="AI4" s="529">
        <f t="shared" si="0"/>
        <v>20</v>
      </c>
      <c r="AJ4" s="529">
        <f t="shared" si="0"/>
        <v>21</v>
      </c>
      <c r="AK4" s="529">
        <f t="shared" si="0"/>
        <v>22</v>
      </c>
      <c r="AL4" s="530">
        <f t="shared" si="0"/>
        <v>23</v>
      </c>
      <c r="AM4" s="503"/>
      <c r="AN4" s="758"/>
      <c r="AO4" s="758"/>
      <c r="AP4" s="503"/>
      <c r="AQ4" s="503"/>
      <c r="AR4" s="503"/>
      <c r="AS4" s="503"/>
    </row>
    <row r="5" spans="1:45" ht="66" hidden="1" customHeight="1" outlineLevel="1">
      <c r="A5" s="502"/>
      <c r="B5" s="503"/>
      <c r="C5" s="503"/>
      <c r="D5" s="504"/>
      <c r="E5" s="504"/>
      <c r="F5" s="504"/>
      <c r="G5" s="504"/>
      <c r="H5" s="991" t="str">
        <f>"Groupings of building types are approximate and there is overlap.  Prices reflect the average cost per square foot for construction set to Richmond Virginia, January "&amp;YEAR(H3)&amp;". Prices also include utilities and site work where applicable."</f>
        <v>Groupings of building types are approximate and there is overlap.  Prices reflect the average cost per square foot for construction set to Richmond Virginia, January 2026. Prices also include utilities and site work where applicable.</v>
      </c>
      <c r="I5" s="992"/>
      <c r="J5" s="992"/>
      <c r="K5" s="993"/>
      <c r="L5" s="992"/>
      <c r="M5" s="991"/>
      <c r="N5" s="531" t="s">
        <v>686</v>
      </c>
      <c r="O5" s="532"/>
      <c r="P5" s="533" t="s">
        <v>687</v>
      </c>
      <c r="Q5" s="534"/>
      <c r="R5" s="533" t="s">
        <v>688</v>
      </c>
      <c r="S5" s="535"/>
      <c r="T5" s="536"/>
      <c r="U5" s="537" t="s">
        <v>689</v>
      </c>
      <c r="V5" s="535"/>
      <c r="W5" s="536"/>
      <c r="X5" s="537" t="s">
        <v>690</v>
      </c>
      <c r="Y5" s="535"/>
      <c r="Z5" s="535"/>
      <c r="AA5" s="535"/>
      <c r="AB5" s="536"/>
      <c r="AC5" s="537" t="s">
        <v>691</v>
      </c>
      <c r="AD5" s="536"/>
      <c r="AE5" s="537" t="s">
        <v>692</v>
      </c>
      <c r="AF5" s="536"/>
      <c r="AG5" s="537" t="s">
        <v>693</v>
      </c>
      <c r="AH5" s="535"/>
      <c r="AI5" s="535"/>
      <c r="AJ5" s="535"/>
      <c r="AK5" s="536"/>
      <c r="AL5" s="538" t="s">
        <v>694</v>
      </c>
      <c r="AM5" s="503"/>
      <c r="AN5" s="758"/>
      <c r="AO5" s="758"/>
      <c r="AP5" s="503"/>
      <c r="AQ5" s="503"/>
      <c r="AR5" s="503"/>
      <c r="AS5" s="503"/>
    </row>
    <row r="6" spans="1:45" ht="74.25" hidden="1" customHeight="1" outlineLevel="1">
      <c r="A6" s="502"/>
      <c r="B6" s="503"/>
      <c r="C6" s="503"/>
      <c r="D6" s="504"/>
      <c r="E6" s="504"/>
      <c r="F6" s="504"/>
      <c r="G6" s="504"/>
      <c r="H6" s="1009" t="s">
        <v>695</v>
      </c>
      <c r="I6" s="1013"/>
      <c r="J6" s="1013"/>
      <c r="K6" s="1007"/>
      <c r="L6" s="1013"/>
      <c r="M6" s="1009"/>
      <c r="N6" s="531" t="s">
        <v>50</v>
      </c>
      <c r="O6" s="532"/>
      <c r="P6" s="999" t="s">
        <v>696</v>
      </c>
      <c r="Q6" s="996" t="s">
        <v>697</v>
      </c>
      <c r="R6" s="999" t="s">
        <v>698</v>
      </c>
      <c r="S6" s="1217" t="s">
        <v>699</v>
      </c>
      <c r="T6" s="996" t="s">
        <v>700</v>
      </c>
      <c r="U6" s="999" t="s">
        <v>701</v>
      </c>
      <c r="V6" s="1217" t="s">
        <v>702</v>
      </c>
      <c r="W6" s="996" t="s">
        <v>703</v>
      </c>
      <c r="X6" s="999" t="s">
        <v>704</v>
      </c>
      <c r="Y6" s="1217" t="s">
        <v>705</v>
      </c>
      <c r="Z6" s="1217" t="s">
        <v>706</v>
      </c>
      <c r="AA6" s="1217" t="s">
        <v>707</v>
      </c>
      <c r="AB6" s="996" t="s">
        <v>708</v>
      </c>
      <c r="AC6" s="999" t="s">
        <v>709</v>
      </c>
      <c r="AD6" s="996" t="s">
        <v>710</v>
      </c>
      <c r="AE6" s="999" t="s">
        <v>711</v>
      </c>
      <c r="AF6" s="996" t="s">
        <v>712</v>
      </c>
      <c r="AG6" s="999" t="s">
        <v>713</v>
      </c>
      <c r="AH6" s="1217" t="s">
        <v>714</v>
      </c>
      <c r="AI6" s="1217" t="s">
        <v>715</v>
      </c>
      <c r="AJ6" s="1217" t="s">
        <v>716</v>
      </c>
      <c r="AK6" s="996" t="s">
        <v>717</v>
      </c>
      <c r="AL6" s="1002" t="s">
        <v>694</v>
      </c>
      <c r="AM6" s="503"/>
      <c r="AN6" s="758"/>
      <c r="AO6" s="758"/>
      <c r="AP6" s="503"/>
      <c r="AQ6" s="503"/>
      <c r="AR6" s="503"/>
      <c r="AS6" s="503"/>
    </row>
    <row r="7" spans="1:45" ht="90.6" hidden="1" customHeight="1" outlineLevel="1">
      <c r="A7" s="502"/>
      <c r="B7" s="503"/>
      <c r="C7" s="503"/>
      <c r="D7" s="504"/>
      <c r="E7" s="504"/>
      <c r="F7" s="504"/>
      <c r="G7" s="504"/>
      <c r="H7" s="1009"/>
      <c r="I7" s="1013"/>
      <c r="J7" s="1013"/>
      <c r="K7" s="1007"/>
      <c r="L7" s="1013"/>
      <c r="M7" s="1009"/>
      <c r="N7" s="539" t="s">
        <v>718</v>
      </c>
      <c r="O7" s="532"/>
      <c r="P7" s="1000"/>
      <c r="Q7" s="997"/>
      <c r="R7" s="1000"/>
      <c r="S7" s="1218"/>
      <c r="T7" s="997"/>
      <c r="U7" s="1000"/>
      <c r="V7" s="1218"/>
      <c r="W7" s="997"/>
      <c r="X7" s="1000"/>
      <c r="Y7" s="1218"/>
      <c r="Z7" s="1218"/>
      <c r="AA7" s="1218"/>
      <c r="AB7" s="997"/>
      <c r="AC7" s="1000"/>
      <c r="AD7" s="997"/>
      <c r="AE7" s="1000"/>
      <c r="AF7" s="997"/>
      <c r="AG7" s="1000"/>
      <c r="AH7" s="1218"/>
      <c r="AI7" s="1218"/>
      <c r="AJ7" s="1218"/>
      <c r="AK7" s="997"/>
      <c r="AL7" s="1003"/>
      <c r="AM7" s="503"/>
      <c r="AN7" s="758"/>
      <c r="AO7" s="758"/>
      <c r="AP7" s="503"/>
      <c r="AQ7" s="503"/>
      <c r="AR7" s="503"/>
      <c r="AS7" s="503"/>
    </row>
    <row r="8" spans="1:45" ht="99.75" hidden="1" customHeight="1" outlineLevel="1" thickBot="1">
      <c r="A8" s="502"/>
      <c r="B8" s="503"/>
      <c r="C8" s="503"/>
      <c r="D8" s="504"/>
      <c r="E8" s="504"/>
      <c r="F8" s="504"/>
      <c r="G8" s="504"/>
      <c r="H8" s="1009"/>
      <c r="I8" s="1013"/>
      <c r="J8" s="1013"/>
      <c r="K8" s="1007"/>
      <c r="L8" s="1013"/>
      <c r="M8" s="1009"/>
      <c r="N8" s="531" t="s">
        <v>719</v>
      </c>
      <c r="O8" s="532"/>
      <c r="P8" s="1219"/>
      <c r="Q8" s="998"/>
      <c r="R8" s="1219"/>
      <c r="S8" s="1001"/>
      <c r="T8" s="998"/>
      <c r="U8" s="1219"/>
      <c r="V8" s="1001"/>
      <c r="W8" s="998"/>
      <c r="X8" s="1219"/>
      <c r="Y8" s="1001"/>
      <c r="Z8" s="1001"/>
      <c r="AA8" s="1001"/>
      <c r="AB8" s="998"/>
      <c r="AC8" s="1219"/>
      <c r="AD8" s="998"/>
      <c r="AE8" s="1219"/>
      <c r="AF8" s="998"/>
      <c r="AG8" s="1219"/>
      <c r="AH8" s="1001"/>
      <c r="AI8" s="1001"/>
      <c r="AJ8" s="1001"/>
      <c r="AK8" s="998"/>
      <c r="AL8" s="1004"/>
      <c r="AM8" s="503"/>
      <c r="AN8" s="758"/>
      <c r="AO8" s="758"/>
      <c r="AP8" s="503"/>
      <c r="AQ8" s="503"/>
      <c r="AR8" s="503"/>
      <c r="AS8" s="503"/>
    </row>
    <row r="9" spans="1:45" ht="95.25" hidden="1" customHeight="1" outlineLevel="1" thickBot="1">
      <c r="A9" s="502"/>
      <c r="B9" s="540" t="s">
        <v>720</v>
      </c>
      <c r="C9" s="503"/>
      <c r="D9" s="717" t="s">
        <v>677</v>
      </c>
      <c r="E9" s="504"/>
      <c r="F9" s="504"/>
      <c r="G9" s="504"/>
      <c r="H9" s="1005" t="s">
        <v>721</v>
      </c>
      <c r="I9" s="1006"/>
      <c r="J9" s="1006"/>
      <c r="K9" s="1007"/>
      <c r="L9" s="1008"/>
      <c r="M9" s="1009"/>
      <c r="N9" s="541"/>
      <c r="O9" s="542" t="s">
        <v>722</v>
      </c>
      <c r="P9" s="543"/>
      <c r="Q9" s="544"/>
      <c r="R9" s="544"/>
      <c r="S9" s="544"/>
      <c r="T9" s="544"/>
      <c r="U9" s="544"/>
      <c r="V9" s="544"/>
      <c r="W9" s="544"/>
      <c r="X9" s="544"/>
      <c r="Y9" s="544"/>
      <c r="Z9" s="544"/>
      <c r="AA9" s="544"/>
      <c r="AB9" s="544"/>
      <c r="AC9" s="544"/>
      <c r="AD9" s="544"/>
      <c r="AE9" s="544"/>
      <c r="AF9" s="544"/>
      <c r="AG9" s="544"/>
      <c r="AH9" s="544"/>
      <c r="AI9" s="544"/>
      <c r="AJ9" s="544"/>
      <c r="AK9" s="544"/>
      <c r="AL9" s="545"/>
      <c r="AM9" s="503"/>
      <c r="AN9" s="758"/>
      <c r="AO9" s="758"/>
      <c r="AP9" s="503"/>
      <c r="AQ9" s="503"/>
      <c r="AR9" s="503"/>
      <c r="AS9" s="503"/>
    </row>
    <row r="10" spans="1:45" ht="60" customHeight="1" collapsed="1" thickTop="1" thickBot="1">
      <c r="A10" s="546" t="s">
        <v>723</v>
      </c>
      <c r="B10" s="547" t="s">
        <v>663</v>
      </c>
      <c r="C10" s="548" t="s">
        <v>667</v>
      </c>
      <c r="D10" s="547" t="s">
        <v>664</v>
      </c>
      <c r="E10" s="547" t="s">
        <v>665</v>
      </c>
      <c r="F10" s="547" t="s">
        <v>666</v>
      </c>
      <c r="G10" s="547" t="str">
        <f>YEAR(H3)&amp;" Addition/ Deletion"</f>
        <v>2026 Addition/ Deletion</v>
      </c>
      <c r="H10" s="549" t="s">
        <v>724</v>
      </c>
      <c r="I10" s="550"/>
      <c r="J10" s="551" t="s">
        <v>668</v>
      </c>
      <c r="K10" s="551" t="s">
        <v>669</v>
      </c>
      <c r="L10" s="552" t="s">
        <v>670</v>
      </c>
      <c r="M10" s="551" t="s">
        <v>671</v>
      </c>
      <c r="N10" s="553" t="s">
        <v>672</v>
      </c>
      <c r="O10" s="528"/>
      <c r="P10" s="509"/>
      <c r="Q10" s="509"/>
      <c r="R10" s="509"/>
      <c r="S10" s="509"/>
      <c r="T10" s="509"/>
      <c r="U10" s="509"/>
      <c r="V10" s="509"/>
      <c r="W10" s="509"/>
      <c r="X10" s="509"/>
      <c r="Y10" s="509"/>
      <c r="Z10" s="509"/>
      <c r="AA10" s="509"/>
      <c r="AB10" s="509"/>
      <c r="AC10" s="509"/>
      <c r="AD10" s="509"/>
      <c r="AE10" s="509"/>
      <c r="AF10" s="509"/>
      <c r="AG10" s="510"/>
      <c r="AH10" s="509"/>
      <c r="AI10" s="509"/>
      <c r="AJ10" s="509"/>
      <c r="AK10" s="509"/>
      <c r="AL10" s="554"/>
      <c r="AM10" s="503"/>
      <c r="AN10" s="758"/>
      <c r="AO10" s="758"/>
      <c r="AP10" s="503"/>
      <c r="AQ10" s="503"/>
      <c r="AR10" s="503"/>
      <c r="AS10" s="503"/>
    </row>
    <row r="11" spans="1:45" ht="42.75" customHeight="1" thickTop="1">
      <c r="A11" s="758"/>
      <c r="B11" s="555"/>
      <c r="C11" s="556" t="s">
        <v>160</v>
      </c>
      <c r="D11" s="557" t="s">
        <v>725</v>
      </c>
      <c r="E11" s="565" t="s">
        <v>726</v>
      </c>
      <c r="F11" s="565" t="s">
        <v>726</v>
      </c>
      <c r="G11" s="558"/>
      <c r="H11" s="559" t="s">
        <v>727</v>
      </c>
      <c r="I11" s="560"/>
      <c r="J11" s="557"/>
      <c r="K11" s="561"/>
      <c r="L11" s="561"/>
      <c r="M11" s="557"/>
      <c r="N11" s="562" t="s">
        <v>728</v>
      </c>
      <c r="O11" s="563" t="s">
        <v>729</v>
      </c>
      <c r="P11" s="1220"/>
      <c r="Q11" s="1221"/>
      <c r="R11" s="1222"/>
      <c r="S11" s="737"/>
      <c r="T11" s="1223"/>
      <c r="U11" s="1224"/>
      <c r="V11" s="738"/>
      <c r="W11" s="1223"/>
      <c r="X11" s="1224"/>
      <c r="Y11" s="738"/>
      <c r="Z11" s="738"/>
      <c r="AA11" s="738"/>
      <c r="AB11" s="1223"/>
      <c r="AC11" s="1224"/>
      <c r="AD11" s="1223"/>
      <c r="AE11" s="1224"/>
      <c r="AF11" s="1223"/>
      <c r="AG11" s="1224"/>
      <c r="AH11" s="738"/>
      <c r="AI11" s="738"/>
      <c r="AJ11" s="738"/>
      <c r="AK11" s="1223"/>
      <c r="AL11" s="1225"/>
      <c r="AM11" s="503"/>
      <c r="AN11" s="758"/>
      <c r="AO11" s="758"/>
      <c r="AP11" s="503"/>
      <c r="AQ11" s="503"/>
      <c r="AR11" s="503"/>
      <c r="AS11" s="503"/>
    </row>
    <row r="12" spans="1:45" ht="21.95" customHeight="1">
      <c r="A12" s="758"/>
      <c r="B12" s="564" t="s">
        <v>730</v>
      </c>
      <c r="C12" s="565" t="s">
        <v>160</v>
      </c>
      <c r="D12" s="540" t="s">
        <v>586</v>
      </c>
      <c r="E12" s="565">
        <v>3</v>
      </c>
      <c r="F12" s="565" t="s">
        <v>160</v>
      </c>
      <c r="G12" s="566" t="s">
        <v>731</v>
      </c>
      <c r="H12" s="567"/>
      <c r="I12" s="568" t="str">
        <f>IF(B12="",D12,HYPERLINK("#'"&amp;B12&amp;"'!a1",D12))</f>
        <v>Chiller Plants - Equipment Only</v>
      </c>
      <c r="J12" s="569" t="s">
        <v>284</v>
      </c>
      <c r="K12" s="569" t="s">
        <v>732</v>
      </c>
      <c r="L12" s="570" t="s">
        <v>733</v>
      </c>
      <c r="M12" s="571">
        <v>2100</v>
      </c>
      <c r="N12" s="572">
        <v>1646.1978609625669</v>
      </c>
      <c r="O12" s="573"/>
      <c r="P12" s="574" t="e">
        <v>#DIV/0!</v>
      </c>
      <c r="Q12" s="575" t="e">
        <v>#DIV/0!</v>
      </c>
      <c r="R12" s="574" t="e">
        <v>#DIV/0!</v>
      </c>
      <c r="S12" s="573" t="e">
        <v>#DIV/0!</v>
      </c>
      <c r="T12" s="575" t="e">
        <v>#DIV/0!</v>
      </c>
      <c r="U12" s="574" t="e">
        <v>#DIV/0!</v>
      </c>
      <c r="V12" s="573" t="e">
        <v>#DIV/0!</v>
      </c>
      <c r="W12" s="575" t="e">
        <v>#DIV/0!</v>
      </c>
      <c r="X12" s="574" t="e">
        <v>#DIV/0!</v>
      </c>
      <c r="Y12" s="573" t="e">
        <v>#DIV/0!</v>
      </c>
      <c r="Z12" s="573" t="e">
        <v>#DIV/0!</v>
      </c>
      <c r="AA12" s="573" t="e">
        <v>#DIV/0!</v>
      </c>
      <c r="AB12" s="575" t="e">
        <v>#DIV/0!</v>
      </c>
      <c r="AC12" s="574" t="e">
        <v>#DIV/0!</v>
      </c>
      <c r="AD12" s="575" t="e">
        <v>#DIV/0!</v>
      </c>
      <c r="AE12" s="574" t="e">
        <v>#DIV/0!</v>
      </c>
      <c r="AF12" s="575" t="e">
        <v>#DIV/0!</v>
      </c>
      <c r="AG12" s="574" t="e">
        <v>#DIV/0!</v>
      </c>
      <c r="AH12" s="573" t="e">
        <v>#DIV/0!</v>
      </c>
      <c r="AI12" s="573" t="e">
        <v>#DIV/0!</v>
      </c>
      <c r="AJ12" s="573" t="e">
        <v>#DIV/0!</v>
      </c>
      <c r="AK12" s="575" t="e">
        <v>#DIV/0!</v>
      </c>
      <c r="AL12" s="576" t="e">
        <v>#DIV/0!</v>
      </c>
      <c r="AM12" s="503"/>
      <c r="AN12" s="758"/>
      <c r="AO12" s="758"/>
      <c r="AP12" s="503"/>
      <c r="AQ12" s="503"/>
      <c r="AR12" s="503"/>
      <c r="AS12" s="503"/>
    </row>
    <row r="13" spans="1:45" ht="21.95" customHeight="1">
      <c r="A13" s="758"/>
      <c r="B13" s="564" t="s">
        <v>608</v>
      </c>
      <c r="C13" s="565" t="s">
        <v>160</v>
      </c>
      <c r="D13" s="540" t="s">
        <v>608</v>
      </c>
      <c r="E13" s="565">
        <v>3</v>
      </c>
      <c r="F13" s="565" t="s">
        <v>160</v>
      </c>
      <c r="G13" s="566" t="s">
        <v>731</v>
      </c>
      <c r="H13" s="567"/>
      <c r="I13" s="568" t="str">
        <f>IF(B13="",D13,HYPERLINK("#'"&amp;B13&amp;"'!a1",D13))</f>
        <v>Chiller Plants - incl. Building</v>
      </c>
      <c r="J13" s="569" t="s">
        <v>284</v>
      </c>
      <c r="K13" s="569" t="s">
        <v>732</v>
      </c>
      <c r="L13" s="570" t="s">
        <v>734</v>
      </c>
      <c r="M13" s="571">
        <v>4000</v>
      </c>
      <c r="N13" s="572">
        <v>9843.7500000000018</v>
      </c>
      <c r="O13" s="573"/>
      <c r="P13" s="574">
        <v>68.852242699697484</v>
      </c>
      <c r="Q13" s="575">
        <v>0</v>
      </c>
      <c r="R13" s="574">
        <v>138.12849203577122</v>
      </c>
      <c r="S13" s="573">
        <v>132.76095564972405</v>
      </c>
      <c r="T13" s="575">
        <v>14.099915349398426</v>
      </c>
      <c r="U13" s="574">
        <v>1.7152171183289842</v>
      </c>
      <c r="V13" s="573">
        <v>0</v>
      </c>
      <c r="W13" s="575">
        <v>13.566780231739141</v>
      </c>
      <c r="X13" s="574">
        <v>0</v>
      </c>
      <c r="Y13" s="573">
        <v>0</v>
      </c>
      <c r="Z13" s="573">
        <v>486.38344514236888</v>
      </c>
      <c r="AA13" s="573">
        <v>2.4952518445604235</v>
      </c>
      <c r="AB13" s="575">
        <v>263.78540314758794</v>
      </c>
      <c r="AC13" s="574">
        <v>0</v>
      </c>
      <c r="AD13" s="575">
        <v>0</v>
      </c>
      <c r="AE13" s="574">
        <v>0</v>
      </c>
      <c r="AF13" s="575">
        <v>0</v>
      </c>
      <c r="AG13" s="574">
        <v>97.930161449553154</v>
      </c>
      <c r="AH13" s="573">
        <v>12.44990798847655</v>
      </c>
      <c r="AI13" s="573">
        <v>2.2723165831466643</v>
      </c>
      <c r="AJ13" s="573">
        <v>0</v>
      </c>
      <c r="AK13" s="575">
        <v>3.5814764565965409</v>
      </c>
      <c r="AL13" s="576">
        <v>268.78096703750322</v>
      </c>
      <c r="AM13" s="503"/>
      <c r="AN13" s="758"/>
      <c r="AO13" s="758"/>
      <c r="AP13" s="503"/>
      <c r="AQ13" s="503"/>
      <c r="AR13" s="503"/>
      <c r="AS13" s="503"/>
    </row>
    <row r="14" spans="1:45" ht="21.95" customHeight="1" thickBot="1">
      <c r="A14" s="577">
        <v>46133</v>
      </c>
      <c r="B14" s="564" t="s">
        <v>188</v>
      </c>
      <c r="C14" s="565" t="s">
        <v>160</v>
      </c>
      <c r="D14" s="540" t="s">
        <v>188</v>
      </c>
      <c r="E14" s="565">
        <v>12</v>
      </c>
      <c r="F14" s="565" t="s">
        <v>160</v>
      </c>
      <c r="G14" s="566" t="s">
        <v>731</v>
      </c>
      <c r="H14" s="567"/>
      <c r="I14" s="568" t="str">
        <f>IF(B14="",D14,HYPERLINK("#'"&amp;B14&amp;"'!a1",D14))</f>
        <v>HVAC</v>
      </c>
      <c r="J14" s="569" t="s">
        <v>160</v>
      </c>
      <c r="K14" s="569" t="s">
        <v>735</v>
      </c>
      <c r="L14" s="570" t="s">
        <v>736</v>
      </c>
      <c r="M14" s="571">
        <v>42147.5</v>
      </c>
      <c r="N14" s="572">
        <v>79.447099097477832</v>
      </c>
      <c r="O14" s="573"/>
      <c r="P14" s="574">
        <v>68.852242699697484</v>
      </c>
      <c r="Q14" s="575">
        <v>0</v>
      </c>
      <c r="R14" s="574">
        <v>138.12849203577122</v>
      </c>
      <c r="S14" s="573">
        <v>132.76095564972405</v>
      </c>
      <c r="T14" s="575">
        <v>14.099915349398426</v>
      </c>
      <c r="U14" s="574">
        <v>1.7152171183289842</v>
      </c>
      <c r="V14" s="573">
        <v>0</v>
      </c>
      <c r="W14" s="575">
        <v>13.566780231739141</v>
      </c>
      <c r="X14" s="574">
        <v>0</v>
      </c>
      <c r="Y14" s="573">
        <v>0</v>
      </c>
      <c r="Z14" s="573">
        <v>486.38344514236888</v>
      </c>
      <c r="AA14" s="573">
        <v>2.4952518445604235</v>
      </c>
      <c r="AB14" s="575">
        <v>263.78540314758794</v>
      </c>
      <c r="AC14" s="574">
        <v>0</v>
      </c>
      <c r="AD14" s="575">
        <v>0</v>
      </c>
      <c r="AE14" s="574">
        <v>0</v>
      </c>
      <c r="AF14" s="575">
        <v>0</v>
      </c>
      <c r="AG14" s="574">
        <v>97.930161449553154</v>
      </c>
      <c r="AH14" s="573">
        <v>12.44990798847655</v>
      </c>
      <c r="AI14" s="573">
        <v>2.2723165831466643</v>
      </c>
      <c r="AJ14" s="573">
        <v>0</v>
      </c>
      <c r="AK14" s="575">
        <v>3.5814764565965409</v>
      </c>
      <c r="AL14" s="576">
        <v>268.78096703750322</v>
      </c>
      <c r="AM14" s="503"/>
      <c r="AN14" s="758"/>
      <c r="AO14" s="758"/>
      <c r="AP14" s="503"/>
      <c r="AQ14" s="503"/>
      <c r="AR14" s="503"/>
      <c r="AS14" s="503"/>
    </row>
    <row r="15" spans="1:45" ht="21.95" customHeight="1" thickTop="1">
      <c r="A15" s="758"/>
      <c r="B15" s="555"/>
      <c r="C15" s="578" t="s">
        <v>160</v>
      </c>
      <c r="D15" s="555" t="s">
        <v>737</v>
      </c>
      <c r="E15" s="565" t="s">
        <v>726</v>
      </c>
      <c r="F15" s="565" t="s">
        <v>726</v>
      </c>
      <c r="G15" s="579"/>
      <c r="H15" s="580" t="s">
        <v>737</v>
      </c>
      <c r="I15" s="581"/>
      <c r="J15" s="581"/>
      <c r="K15" s="582"/>
      <c r="L15" s="583"/>
      <c r="M15" s="581"/>
      <c r="N15" s="584"/>
      <c r="O15" s="642"/>
      <c r="P15" s="585"/>
      <c r="Q15" s="586"/>
      <c r="R15" s="587"/>
      <c r="S15" s="588"/>
      <c r="T15" s="589"/>
      <c r="U15" s="590"/>
      <c r="V15" s="588"/>
      <c r="W15" s="589"/>
      <c r="X15" s="590"/>
      <c r="Y15" s="588"/>
      <c r="Z15" s="588"/>
      <c r="AA15" s="588"/>
      <c r="AB15" s="589"/>
      <c r="AC15" s="590"/>
      <c r="AD15" s="589"/>
      <c r="AE15" s="590"/>
      <c r="AF15" s="589"/>
      <c r="AG15" s="590"/>
      <c r="AH15" s="588"/>
      <c r="AI15" s="588"/>
      <c r="AJ15" s="588"/>
      <c r="AK15" s="589"/>
      <c r="AL15" s="591"/>
      <c r="AM15" s="503"/>
      <c r="AN15" s="758"/>
      <c r="AO15" s="758"/>
      <c r="AP15" s="503"/>
      <c r="AQ15" s="503"/>
      <c r="AR15" s="503"/>
      <c r="AS15" s="503"/>
    </row>
    <row r="16" spans="1:45" ht="21.95" customHeight="1">
      <c r="A16" s="758"/>
      <c r="B16" s="592" t="s">
        <v>738</v>
      </c>
      <c r="C16" s="593" t="s">
        <v>160</v>
      </c>
      <c r="D16" s="568" t="s">
        <v>587</v>
      </c>
      <c r="E16" s="565">
        <v>35</v>
      </c>
      <c r="F16" s="565" t="s">
        <v>160</v>
      </c>
      <c r="G16" s="566" t="s">
        <v>726</v>
      </c>
      <c r="H16" s="594"/>
      <c r="I16" s="568" t="str">
        <f>IF(B16="",D16,HYPERLINK("#'"&amp;B16&amp;"'!a1",D16))</f>
        <v>New Classroom Buildings</v>
      </c>
      <c r="J16" s="569" t="s">
        <v>160</v>
      </c>
      <c r="K16" s="569" t="s">
        <v>735</v>
      </c>
      <c r="L16" s="570" t="s">
        <v>739</v>
      </c>
      <c r="M16" s="571">
        <v>102000</v>
      </c>
      <c r="N16" s="572">
        <v>474.34609601361211</v>
      </c>
      <c r="O16" s="573"/>
      <c r="P16" s="574">
        <v>27.766680250014453</v>
      </c>
      <c r="Q16" s="575">
        <v>0</v>
      </c>
      <c r="R16" s="574">
        <v>47.563565707522628</v>
      </c>
      <c r="S16" s="573">
        <v>64.726280453825979</v>
      </c>
      <c r="T16" s="575">
        <v>12.347198613795177</v>
      </c>
      <c r="U16" s="574">
        <v>33.786003848068326</v>
      </c>
      <c r="V16" s="573">
        <v>1.8263325380041784</v>
      </c>
      <c r="W16" s="575">
        <v>38.49752145241451</v>
      </c>
      <c r="X16" s="574">
        <v>3.6611819376497352</v>
      </c>
      <c r="Y16" s="573">
        <v>8.2524800123323026</v>
      </c>
      <c r="Z16" s="573">
        <v>59.844829867744075</v>
      </c>
      <c r="AA16" s="573">
        <v>6.4238853360087091</v>
      </c>
      <c r="AB16" s="575">
        <v>49.372790216262167</v>
      </c>
      <c r="AC16" s="574">
        <v>2.9833674281190503</v>
      </c>
      <c r="AD16" s="575">
        <v>2.9998583987073113</v>
      </c>
      <c r="AE16" s="574">
        <v>2.0876556448717021</v>
      </c>
      <c r="AF16" s="575">
        <v>2.6861284564875287</v>
      </c>
      <c r="AG16" s="574">
        <v>17.032317887400509</v>
      </c>
      <c r="AH16" s="573">
        <v>11.978618296989415</v>
      </c>
      <c r="AI16" s="573">
        <v>7.4660981634431041</v>
      </c>
      <c r="AJ16" s="573">
        <v>1.7857347285235361</v>
      </c>
      <c r="AK16" s="575">
        <v>2.9408745749071321</v>
      </c>
      <c r="AL16" s="576">
        <v>50.037035636535798</v>
      </c>
      <c r="AM16" s="503"/>
      <c r="AN16" s="758"/>
      <c r="AO16" s="758"/>
      <c r="AP16" s="503"/>
      <c r="AQ16" s="503"/>
      <c r="AR16" s="503"/>
      <c r="AS16" s="503"/>
    </row>
    <row r="17" spans="2:45" ht="21.95" hidden="1" customHeight="1">
      <c r="B17" s="592" t="s">
        <v>740</v>
      </c>
      <c r="C17" s="593" t="s">
        <v>284</v>
      </c>
      <c r="D17" s="568" t="s">
        <v>741</v>
      </c>
      <c r="E17" s="565">
        <v>8</v>
      </c>
      <c r="F17" s="565" t="s">
        <v>160</v>
      </c>
      <c r="G17" s="566" t="s">
        <v>742</v>
      </c>
      <c r="H17" s="594"/>
      <c r="I17" s="568" t="str">
        <f>IF(B17="",D17,HYPERLINK("#'"&amp;B17&amp;"'!a1",D17))</f>
        <v>Renovate Classroom Buildings - L</v>
      </c>
      <c r="J17" s="569" t="s">
        <v>160</v>
      </c>
      <c r="K17" s="569" t="s">
        <v>735</v>
      </c>
      <c r="L17" s="570" t="s">
        <v>743</v>
      </c>
      <c r="M17" s="571">
        <v>7140</v>
      </c>
      <c r="N17" s="572">
        <v>35.640337635054024</v>
      </c>
      <c r="O17" s="573"/>
      <c r="P17" s="574">
        <v>2.1455050630241996</v>
      </c>
      <c r="Q17" s="575">
        <v>0</v>
      </c>
      <c r="R17" s="574">
        <v>5.2889826965552196</v>
      </c>
      <c r="S17" s="573">
        <v>14.27617437373517</v>
      </c>
      <c r="T17" s="575">
        <v>0</v>
      </c>
      <c r="U17" s="574">
        <v>4.9261413521622837</v>
      </c>
      <c r="V17" s="573">
        <v>0.96534131479542573</v>
      </c>
      <c r="W17" s="575">
        <v>26.84820072476905</v>
      </c>
      <c r="X17" s="574">
        <v>0.92213209369092064</v>
      </c>
      <c r="Y17" s="573">
        <v>4.6281997683994778</v>
      </c>
      <c r="Z17" s="573">
        <v>8.5629853529318183</v>
      </c>
      <c r="AA17" s="573">
        <v>1.3950133743752151</v>
      </c>
      <c r="AB17" s="575">
        <v>15.260550587695576</v>
      </c>
      <c r="AC17" s="574">
        <v>0</v>
      </c>
      <c r="AD17" s="575">
        <v>1.8258547206179963</v>
      </c>
      <c r="AE17" s="574">
        <v>0</v>
      </c>
      <c r="AF17" s="575">
        <v>0</v>
      </c>
      <c r="AG17" s="574">
        <v>3.608299265981731</v>
      </c>
      <c r="AH17" s="573">
        <v>2.4820148875479577</v>
      </c>
      <c r="AI17" s="573">
        <v>1.5880544446212075</v>
      </c>
      <c r="AJ17" s="573">
        <v>0</v>
      </c>
      <c r="AK17" s="575">
        <v>0</v>
      </c>
      <c r="AL17" s="576">
        <v>7.4164046053726889</v>
      </c>
      <c r="AM17" s="503"/>
      <c r="AN17" s="758"/>
      <c r="AO17" s="758"/>
      <c r="AP17" s="503"/>
      <c r="AQ17" s="503"/>
      <c r="AR17" s="503"/>
      <c r="AS17" s="503"/>
    </row>
    <row r="18" spans="2:45" ht="21.95" customHeight="1">
      <c r="B18" s="592" t="s">
        <v>744</v>
      </c>
      <c r="C18" s="593" t="s">
        <v>160</v>
      </c>
      <c r="D18" s="568" t="s">
        <v>609</v>
      </c>
      <c r="E18" s="565">
        <v>10</v>
      </c>
      <c r="F18" s="565" t="s">
        <v>160</v>
      </c>
      <c r="G18" s="566" t="s">
        <v>726</v>
      </c>
      <c r="H18" s="594"/>
      <c r="I18" s="568" t="str">
        <f>IF(B18="",D18,HYPERLINK("#'"&amp;B18&amp;"'!a1",D18))</f>
        <v>Renovate Classroom Buildings - M</v>
      </c>
      <c r="J18" s="569" t="s">
        <v>160</v>
      </c>
      <c r="K18" s="569" t="s">
        <v>735</v>
      </c>
      <c r="L18" s="570" t="s">
        <v>745</v>
      </c>
      <c r="M18" s="571">
        <v>25310</v>
      </c>
      <c r="N18" s="572">
        <v>233.19464119153741</v>
      </c>
      <c r="O18" s="573"/>
      <c r="P18" s="574">
        <v>2.4416241217583425</v>
      </c>
      <c r="Q18" s="575">
        <v>0.85073505424332796</v>
      </c>
      <c r="R18" s="574">
        <v>11.68877530732766</v>
      </c>
      <c r="S18" s="573">
        <v>7.9756354953268014</v>
      </c>
      <c r="T18" s="575">
        <v>3.4353645337863008</v>
      </c>
      <c r="U18" s="574">
        <v>79.22537622234843</v>
      </c>
      <c r="V18" s="573">
        <v>1.1618383229939178</v>
      </c>
      <c r="W18" s="575">
        <v>15.144312786772343</v>
      </c>
      <c r="X18" s="574">
        <v>2.4031686664661462</v>
      </c>
      <c r="Y18" s="573">
        <v>9.7751274639206311</v>
      </c>
      <c r="Z18" s="573">
        <v>49.734194139276291</v>
      </c>
      <c r="AA18" s="573">
        <v>2.6809817415827526</v>
      </c>
      <c r="AB18" s="575">
        <v>46.612065203009038</v>
      </c>
      <c r="AC18" s="574">
        <v>0.91731518038205329</v>
      </c>
      <c r="AD18" s="575">
        <v>3.2846211474855149</v>
      </c>
      <c r="AE18" s="574">
        <v>0.70153722394989115</v>
      </c>
      <c r="AF18" s="575">
        <v>6.4013154999004973</v>
      </c>
      <c r="AG18" s="574">
        <v>0.93568562465427207</v>
      </c>
      <c r="AH18" s="573">
        <v>2.6617657781404636</v>
      </c>
      <c r="AI18" s="573">
        <v>2.214533630259512</v>
      </c>
      <c r="AJ18" s="573">
        <v>10.241454171130501</v>
      </c>
      <c r="AK18" s="575">
        <v>0.19237023724172198</v>
      </c>
      <c r="AL18" s="576">
        <v>13.049056449462272</v>
      </c>
      <c r="AM18" s="503"/>
      <c r="AN18" s="758"/>
      <c r="AO18" s="758"/>
      <c r="AP18" s="503"/>
      <c r="AQ18" s="503"/>
      <c r="AR18" s="503"/>
      <c r="AS18" s="503"/>
    </row>
    <row r="19" spans="2:45" ht="21.95" customHeight="1">
      <c r="B19" s="592" t="s">
        <v>746</v>
      </c>
      <c r="C19" s="593" t="s">
        <v>160</v>
      </c>
      <c r="D19" s="568" t="s">
        <v>624</v>
      </c>
      <c r="E19" s="565">
        <v>16</v>
      </c>
      <c r="F19" s="565" t="s">
        <v>160</v>
      </c>
      <c r="G19" s="566" t="s">
        <v>726</v>
      </c>
      <c r="H19" s="594"/>
      <c r="I19" s="568" t="str">
        <f>IF(B19="",D19,HYPERLINK("#'"&amp;B19&amp;"'!a1",D19))</f>
        <v>Renovate Classroom Buildings - H</v>
      </c>
      <c r="J19" s="569" t="s">
        <v>160</v>
      </c>
      <c r="K19" s="569" t="s">
        <v>735</v>
      </c>
      <c r="L19" s="570" t="s">
        <v>747</v>
      </c>
      <c r="M19" s="571">
        <v>44018</v>
      </c>
      <c r="N19" s="572">
        <v>347.570246215157</v>
      </c>
      <c r="O19" s="573"/>
      <c r="P19" s="574">
        <v>2.8250429654091596</v>
      </c>
      <c r="Q19" s="575">
        <v>6.4997822003093716E-2</v>
      </c>
      <c r="R19" s="574">
        <v>15.801818432239882</v>
      </c>
      <c r="S19" s="573">
        <v>16.903519025673237</v>
      </c>
      <c r="T19" s="575">
        <v>11.627185663330462</v>
      </c>
      <c r="U19" s="574">
        <v>41.381344998687759</v>
      </c>
      <c r="V19" s="573">
        <v>1.2242737403071322</v>
      </c>
      <c r="W19" s="575">
        <v>13.851189813874486</v>
      </c>
      <c r="X19" s="574">
        <v>3.6252435042577136</v>
      </c>
      <c r="Y19" s="573">
        <v>9.2606368275613598</v>
      </c>
      <c r="Z19" s="573">
        <v>42.559351270577693</v>
      </c>
      <c r="AA19" s="573">
        <v>3.0604938222333118</v>
      </c>
      <c r="AB19" s="575">
        <v>45.730358572682071</v>
      </c>
      <c r="AC19" s="574">
        <v>0.29793910143037544</v>
      </c>
      <c r="AD19" s="575">
        <v>11.089583008112873</v>
      </c>
      <c r="AE19" s="574">
        <v>4.5435086364445043</v>
      </c>
      <c r="AF19" s="575">
        <v>9.145909213838527</v>
      </c>
      <c r="AG19" s="574">
        <v>1.0104796237685436</v>
      </c>
      <c r="AH19" s="573">
        <v>8.7450706350280747</v>
      </c>
      <c r="AI19" s="573">
        <v>5.6286706608380417</v>
      </c>
      <c r="AJ19" s="573">
        <v>7.7526912670837165</v>
      </c>
      <c r="AK19" s="575">
        <v>0.83478144812415878</v>
      </c>
      <c r="AL19" s="576">
        <v>29.56927527360671</v>
      </c>
      <c r="AM19" s="503"/>
      <c r="AN19" s="758"/>
      <c r="AO19" s="758"/>
      <c r="AP19" s="503"/>
      <c r="AQ19" s="503"/>
      <c r="AR19" s="503"/>
      <c r="AS19" s="503"/>
    </row>
    <row r="20" spans="2:45" ht="21.95" customHeight="1" thickBot="1">
      <c r="B20" s="592" t="s">
        <v>748</v>
      </c>
      <c r="C20" s="593" t="s">
        <v>160</v>
      </c>
      <c r="D20" s="568" t="s">
        <v>636</v>
      </c>
      <c r="E20" s="565">
        <v>10</v>
      </c>
      <c r="F20" s="565" t="s">
        <v>160</v>
      </c>
      <c r="G20" s="566" t="s">
        <v>726</v>
      </c>
      <c r="H20" s="595"/>
      <c r="I20" s="596" t="str">
        <f>IF(B20="",D20,HYPERLINK("#'"&amp;B20&amp;"'!a1",D20))</f>
        <v>Renovate Classroom Buildings - Historic</v>
      </c>
      <c r="J20" s="597" t="s">
        <v>160</v>
      </c>
      <c r="K20" s="597" t="s">
        <v>735</v>
      </c>
      <c r="L20" s="570" t="s">
        <v>749</v>
      </c>
      <c r="M20" s="616">
        <v>29832</v>
      </c>
      <c r="N20" s="598">
        <v>354.23040031876735</v>
      </c>
      <c r="O20" s="573"/>
      <c r="P20" s="574">
        <v>2.6073804620643042</v>
      </c>
      <c r="Q20" s="575">
        <v>1.12916730278382</v>
      </c>
      <c r="R20" s="574">
        <v>41.285706322213727</v>
      </c>
      <c r="S20" s="573">
        <v>15.350123016415834</v>
      </c>
      <c r="T20" s="575">
        <v>3.310663183489496</v>
      </c>
      <c r="U20" s="574">
        <v>29.758314419557493</v>
      </c>
      <c r="V20" s="573">
        <v>3.6234563894872891</v>
      </c>
      <c r="W20" s="575">
        <v>67.826541014961805</v>
      </c>
      <c r="X20" s="574">
        <v>5.6388091415138248</v>
      </c>
      <c r="Y20" s="573">
        <v>18.925158752993074</v>
      </c>
      <c r="Z20" s="573">
        <v>50.56383053660484</v>
      </c>
      <c r="AA20" s="573">
        <v>9.0480845044106069</v>
      </c>
      <c r="AB20" s="575">
        <v>55.197990715705764</v>
      </c>
      <c r="AC20" s="574">
        <v>2.3178046046844303</v>
      </c>
      <c r="AD20" s="575">
        <v>4.346661554596766</v>
      </c>
      <c r="AE20" s="574">
        <v>0.29788283997164</v>
      </c>
      <c r="AF20" s="575">
        <v>28.786320777006431</v>
      </c>
      <c r="AG20" s="574">
        <v>2.6250919083604942</v>
      </c>
      <c r="AH20" s="573">
        <v>17.077473297348018</v>
      </c>
      <c r="AI20" s="573">
        <v>2.9764566774266208</v>
      </c>
      <c r="AJ20" s="573">
        <v>0.35850752635748673</v>
      </c>
      <c r="AK20" s="575">
        <v>7.4054798372898301E-2</v>
      </c>
      <c r="AL20" s="576">
        <v>81.882760964802458</v>
      </c>
      <c r="AM20" s="503"/>
      <c r="AN20" s="758"/>
      <c r="AO20" s="758"/>
      <c r="AP20" s="503"/>
      <c r="AQ20" s="503"/>
      <c r="AR20" s="503"/>
      <c r="AS20" s="503"/>
    </row>
    <row r="21" spans="2:45" ht="21.95" customHeight="1" thickTop="1">
      <c r="B21" s="555"/>
      <c r="C21" s="599" t="s">
        <v>160</v>
      </c>
      <c r="D21" s="555" t="s">
        <v>569</v>
      </c>
      <c r="E21" s="565" t="s">
        <v>726</v>
      </c>
      <c r="F21" s="565" t="s">
        <v>726</v>
      </c>
      <c r="G21" s="579"/>
      <c r="H21" s="600" t="s">
        <v>569</v>
      </c>
      <c r="I21" s="555"/>
      <c r="J21" s="555"/>
      <c r="K21" s="583"/>
      <c r="L21" s="583"/>
      <c r="M21" s="555"/>
      <c r="N21" s="601"/>
      <c r="O21" s="555"/>
      <c r="P21" s="585"/>
      <c r="Q21" s="586"/>
      <c r="R21" s="587"/>
      <c r="S21" s="588"/>
      <c r="T21" s="589"/>
      <c r="U21" s="590"/>
      <c r="V21" s="588"/>
      <c r="W21" s="589"/>
      <c r="X21" s="590"/>
      <c r="Y21" s="588"/>
      <c r="Z21" s="588"/>
      <c r="AA21" s="588"/>
      <c r="AB21" s="589"/>
      <c r="AC21" s="590"/>
      <c r="AD21" s="589"/>
      <c r="AE21" s="590"/>
      <c r="AF21" s="589"/>
      <c r="AG21" s="590"/>
      <c r="AH21" s="588"/>
      <c r="AI21" s="588"/>
      <c r="AJ21" s="588"/>
      <c r="AK21" s="589"/>
      <c r="AL21" s="591"/>
      <c r="AM21" s="503"/>
      <c r="AN21" s="758"/>
      <c r="AO21" s="758"/>
      <c r="AP21" s="503"/>
      <c r="AQ21" s="503"/>
      <c r="AR21" s="503"/>
      <c r="AS21" s="503"/>
    </row>
    <row r="22" spans="2:45" ht="21.95" customHeight="1" thickBot="1">
      <c r="B22" s="592" t="s">
        <v>588</v>
      </c>
      <c r="C22" s="593" t="s">
        <v>160</v>
      </c>
      <c r="D22" s="568" t="s">
        <v>588</v>
      </c>
      <c r="E22" s="565">
        <v>18</v>
      </c>
      <c r="F22" s="565" t="s">
        <v>160</v>
      </c>
      <c r="G22" s="566" t="s">
        <v>731</v>
      </c>
      <c r="H22" s="602"/>
      <c r="I22" s="568" t="str">
        <f>IF(B22="",D22,HYPERLINK("#'"&amp;B22&amp;"'!a1",D22))</f>
        <v>New Correctional Facilities</v>
      </c>
      <c r="J22" s="569" t="s">
        <v>160</v>
      </c>
      <c r="K22" s="569" t="s">
        <v>735</v>
      </c>
      <c r="L22" s="570" t="s">
        <v>750</v>
      </c>
      <c r="M22" s="571">
        <v>92537</v>
      </c>
      <c r="N22" s="572">
        <v>285.84624944555219</v>
      </c>
      <c r="O22" s="526"/>
      <c r="P22" s="574" t="e">
        <v>#DIV/0!</v>
      </c>
      <c r="Q22" s="575" t="e">
        <v>#DIV/0!</v>
      </c>
      <c r="R22" s="574" t="e">
        <v>#DIV/0!</v>
      </c>
      <c r="S22" s="573" t="e">
        <v>#DIV/0!</v>
      </c>
      <c r="T22" s="575" t="e">
        <v>#DIV/0!</v>
      </c>
      <c r="U22" s="574" t="e">
        <v>#DIV/0!</v>
      </c>
      <c r="V22" s="573" t="e">
        <v>#DIV/0!</v>
      </c>
      <c r="W22" s="575">
        <v>0</v>
      </c>
      <c r="X22" s="574" t="e">
        <v>#DIV/0!</v>
      </c>
      <c r="Y22" s="573" t="e">
        <v>#DIV/0!</v>
      </c>
      <c r="Z22" s="573" t="e">
        <v>#DIV/0!</v>
      </c>
      <c r="AA22" s="573" t="e">
        <v>#DIV/0!</v>
      </c>
      <c r="AB22" s="575" t="e">
        <v>#DIV/0!</v>
      </c>
      <c r="AC22" s="574" t="e">
        <v>#DIV/0!</v>
      </c>
      <c r="AD22" s="575" t="e">
        <v>#DIV/0!</v>
      </c>
      <c r="AE22" s="574">
        <v>0</v>
      </c>
      <c r="AF22" s="575" t="e">
        <v>#DIV/0!</v>
      </c>
      <c r="AG22" s="574">
        <v>476609</v>
      </c>
      <c r="AH22" s="573">
        <v>663869.93333333335</v>
      </c>
      <c r="AI22" s="573">
        <v>180475.46666666667</v>
      </c>
      <c r="AJ22" s="573">
        <v>1418347.1333333335</v>
      </c>
      <c r="AK22" s="575">
        <v>0</v>
      </c>
      <c r="AL22" s="576">
        <v>39666.666666666664</v>
      </c>
      <c r="AM22" s="503"/>
      <c r="AN22" s="758"/>
      <c r="AO22" s="758"/>
      <c r="AP22" s="503"/>
      <c r="AQ22" s="503"/>
      <c r="AR22" s="503"/>
      <c r="AS22" s="503"/>
    </row>
    <row r="23" spans="2:45" ht="21.95" customHeight="1" thickTop="1">
      <c r="B23" s="603"/>
      <c r="C23" s="599" t="s">
        <v>160</v>
      </c>
      <c r="D23" s="603" t="s">
        <v>570</v>
      </c>
      <c r="E23" s="565" t="s">
        <v>726</v>
      </c>
      <c r="F23" s="565" t="s">
        <v>726</v>
      </c>
      <c r="G23" s="604"/>
      <c r="H23" s="600" t="s">
        <v>570</v>
      </c>
      <c r="I23" s="605"/>
      <c r="J23" s="581"/>
      <c r="K23" s="582"/>
      <c r="L23" s="583"/>
      <c r="M23" s="581"/>
      <c r="N23" s="584"/>
      <c r="O23" s="642"/>
      <c r="P23" s="585"/>
      <c r="Q23" s="586"/>
      <c r="R23" s="587"/>
      <c r="S23" s="588"/>
      <c r="T23" s="589"/>
      <c r="U23" s="590"/>
      <c r="V23" s="588"/>
      <c r="W23" s="589"/>
      <c r="X23" s="590"/>
      <c r="Y23" s="588"/>
      <c r="Z23" s="588"/>
      <c r="AA23" s="588"/>
      <c r="AB23" s="589"/>
      <c r="AC23" s="590"/>
      <c r="AD23" s="589"/>
      <c r="AE23" s="590"/>
      <c r="AF23" s="589"/>
      <c r="AG23" s="590"/>
      <c r="AH23" s="588"/>
      <c r="AI23" s="588"/>
      <c r="AJ23" s="588"/>
      <c r="AK23" s="589"/>
      <c r="AL23" s="591"/>
      <c r="AM23" s="503"/>
      <c r="AN23" s="758"/>
      <c r="AO23" s="758"/>
      <c r="AP23" s="503"/>
      <c r="AQ23" s="503"/>
      <c r="AR23" s="503"/>
      <c r="AS23" s="503"/>
    </row>
    <row r="24" spans="2:45" ht="21.95" customHeight="1">
      <c r="B24" s="592" t="s">
        <v>589</v>
      </c>
      <c r="C24" s="593" t="s">
        <v>160</v>
      </c>
      <c r="D24" s="568" t="s">
        <v>589</v>
      </c>
      <c r="E24" s="565">
        <v>4</v>
      </c>
      <c r="F24" s="565" t="s">
        <v>160</v>
      </c>
      <c r="G24" s="566" t="s">
        <v>726</v>
      </c>
      <c r="H24" s="606"/>
      <c r="I24" s="568" t="str">
        <f>IF(B24="",D24,HYPERLINK("#'"&amp;B24&amp;"'!a1",D24))</f>
        <v>Ren Court</v>
      </c>
      <c r="J24" s="569" t="s">
        <v>160</v>
      </c>
      <c r="K24" s="569" t="s">
        <v>735</v>
      </c>
      <c r="L24" s="570" t="s">
        <v>751</v>
      </c>
      <c r="M24" s="571">
        <v>32700</v>
      </c>
      <c r="N24" s="572">
        <v>231.19473206437792</v>
      </c>
      <c r="O24" s="573"/>
      <c r="P24" s="574" t="e">
        <v>#VALUE!</v>
      </c>
      <c r="Q24" s="575" t="e">
        <v>#VALUE!</v>
      </c>
      <c r="R24" s="574" t="e">
        <v>#VALUE!</v>
      </c>
      <c r="S24" s="573" t="e">
        <v>#VALUE!</v>
      </c>
      <c r="T24" s="575" t="e">
        <v>#VALUE!</v>
      </c>
      <c r="U24" s="574" t="e">
        <v>#VALUE!</v>
      </c>
      <c r="V24" s="573" t="e">
        <v>#VALUE!</v>
      </c>
      <c r="W24" s="575" t="e">
        <v>#VALUE!</v>
      </c>
      <c r="X24" s="574" t="e">
        <v>#VALUE!</v>
      </c>
      <c r="Y24" s="573" t="e">
        <v>#VALUE!</v>
      </c>
      <c r="Z24" s="573" t="e">
        <v>#VALUE!</v>
      </c>
      <c r="AA24" s="573" t="e">
        <v>#VALUE!</v>
      </c>
      <c r="AB24" s="575" t="e">
        <v>#VALUE!</v>
      </c>
      <c r="AC24" s="574" t="e">
        <v>#VALUE!</v>
      </c>
      <c r="AD24" s="575" t="e">
        <v>#VALUE!</v>
      </c>
      <c r="AE24" s="574" t="e">
        <v>#VALUE!</v>
      </c>
      <c r="AF24" s="575" t="e">
        <v>#VALUE!</v>
      </c>
      <c r="AG24" s="574" t="e">
        <v>#VALUE!</v>
      </c>
      <c r="AH24" s="573" t="e">
        <v>#VALUE!</v>
      </c>
      <c r="AI24" s="573" t="e">
        <v>#VALUE!</v>
      </c>
      <c r="AJ24" s="573" t="e">
        <v>#VALUE!</v>
      </c>
      <c r="AK24" s="575" t="e">
        <v>#VALUE!</v>
      </c>
      <c r="AL24" s="576" t="e">
        <v>#VALUE!</v>
      </c>
      <c r="AM24" s="503"/>
      <c r="AN24" s="758"/>
      <c r="AO24" s="758"/>
      <c r="AP24" s="503"/>
      <c r="AQ24" s="503"/>
      <c r="AR24" s="503"/>
      <c r="AS24" s="503"/>
    </row>
    <row r="25" spans="2:45" ht="21.95" customHeight="1">
      <c r="B25" s="603"/>
      <c r="C25" s="599" t="s">
        <v>160</v>
      </c>
      <c r="D25" s="603" t="s">
        <v>137</v>
      </c>
      <c r="E25" s="565" t="s">
        <v>726</v>
      </c>
      <c r="F25" s="565" t="s">
        <v>726</v>
      </c>
      <c r="G25" s="604"/>
      <c r="H25" s="600" t="s">
        <v>137</v>
      </c>
      <c r="I25" s="603"/>
      <c r="J25" s="555"/>
      <c r="K25" s="583"/>
      <c r="L25" s="583"/>
      <c r="M25" s="555"/>
      <c r="N25" s="601"/>
      <c r="O25" s="642"/>
      <c r="P25" s="585"/>
      <c r="Q25" s="586"/>
      <c r="R25" s="587"/>
      <c r="S25" s="588"/>
      <c r="T25" s="589"/>
      <c r="U25" s="590"/>
      <c r="V25" s="588"/>
      <c r="W25" s="589"/>
      <c r="X25" s="590"/>
      <c r="Y25" s="588"/>
      <c r="Z25" s="588"/>
      <c r="AA25" s="588"/>
      <c r="AB25" s="589"/>
      <c r="AC25" s="590"/>
      <c r="AD25" s="589"/>
      <c r="AE25" s="590"/>
      <c r="AF25" s="589"/>
      <c r="AG25" s="590"/>
      <c r="AH25" s="588"/>
      <c r="AI25" s="588"/>
      <c r="AJ25" s="588"/>
      <c r="AK25" s="589"/>
      <c r="AL25" s="591"/>
      <c r="AM25" s="503"/>
      <c r="AN25" s="758"/>
      <c r="AO25" s="758"/>
      <c r="AP25" s="503"/>
      <c r="AQ25" s="503"/>
      <c r="AR25" s="503"/>
      <c r="AS25" s="503"/>
    </row>
    <row r="26" spans="2:45" ht="21.95" customHeight="1">
      <c r="B26" s="592" t="s">
        <v>752</v>
      </c>
      <c r="C26" s="593" t="s">
        <v>160</v>
      </c>
      <c r="D26" s="568" t="s">
        <v>590</v>
      </c>
      <c r="E26" s="565">
        <v>22</v>
      </c>
      <c r="F26" s="565" t="s">
        <v>160</v>
      </c>
      <c r="G26" s="566" t="s">
        <v>726</v>
      </c>
      <c r="H26" s="606"/>
      <c r="I26" s="568" t="str">
        <f t="shared" ref="I26:I28" si="1">IF(B26="",D26,HYPERLINK("#'"&amp;B26&amp;"'!a1",D26))</f>
        <v>New Dormitory</v>
      </c>
      <c r="J26" s="569" t="s">
        <v>160</v>
      </c>
      <c r="K26" s="569" t="s">
        <v>735</v>
      </c>
      <c r="L26" s="570" t="s">
        <v>753</v>
      </c>
      <c r="M26" s="571">
        <v>112976.5</v>
      </c>
      <c r="N26" s="572">
        <v>307.23779724243252</v>
      </c>
      <c r="O26" s="573"/>
      <c r="P26" s="574" t="e">
        <v>#DIV/0!</v>
      </c>
      <c r="Q26" s="575" t="e">
        <v>#DIV/0!</v>
      </c>
      <c r="R26" s="574" t="e">
        <v>#DIV/0!</v>
      </c>
      <c r="S26" s="573" t="e">
        <v>#DIV/0!</v>
      </c>
      <c r="T26" s="575" t="e">
        <v>#DIV/0!</v>
      </c>
      <c r="U26" s="574" t="e">
        <v>#DIV/0!</v>
      </c>
      <c r="V26" s="573" t="e">
        <v>#DIV/0!</v>
      </c>
      <c r="W26" s="575" t="e">
        <v>#DIV/0!</v>
      </c>
      <c r="X26" s="574" t="e">
        <v>#DIV/0!</v>
      </c>
      <c r="Y26" s="573" t="e">
        <v>#DIV/0!</v>
      </c>
      <c r="Z26" s="573" t="e">
        <v>#DIV/0!</v>
      </c>
      <c r="AA26" s="573" t="e">
        <v>#DIV/0!</v>
      </c>
      <c r="AB26" s="575" t="e">
        <v>#DIV/0!</v>
      </c>
      <c r="AC26" s="574" t="e">
        <v>#DIV/0!</v>
      </c>
      <c r="AD26" s="575" t="e">
        <v>#DIV/0!</v>
      </c>
      <c r="AE26" s="574" t="e">
        <v>#DIV/0!</v>
      </c>
      <c r="AF26" s="575" t="e">
        <v>#DIV/0!</v>
      </c>
      <c r="AG26" s="574" t="e">
        <v>#DIV/0!</v>
      </c>
      <c r="AH26" s="573" t="e">
        <v>#DIV/0!</v>
      </c>
      <c r="AI26" s="573" t="e">
        <v>#DIV/0!</v>
      </c>
      <c r="AJ26" s="573" t="e">
        <v>#DIV/0!</v>
      </c>
      <c r="AK26" s="575" t="e">
        <v>#DIV/0!</v>
      </c>
      <c r="AL26" s="576" t="e">
        <v>#DIV/0!</v>
      </c>
      <c r="AM26" s="503"/>
      <c r="AN26" s="758"/>
      <c r="AO26" s="758"/>
      <c r="AP26" s="503"/>
      <c r="AQ26" s="503"/>
      <c r="AR26" s="503"/>
      <c r="AS26" s="503"/>
    </row>
    <row r="27" spans="2:45" ht="21.95" customHeight="1">
      <c r="B27" s="592" t="s">
        <v>754</v>
      </c>
      <c r="C27" s="593" t="s">
        <v>160</v>
      </c>
      <c r="D27" s="568" t="s">
        <v>610</v>
      </c>
      <c r="E27" s="565">
        <v>15</v>
      </c>
      <c r="F27" s="565" t="s">
        <v>160</v>
      </c>
      <c r="G27" s="566" t="s">
        <v>726</v>
      </c>
      <c r="H27" s="606"/>
      <c r="I27" s="568" t="str">
        <f t="shared" si="1"/>
        <v>Renovate Dormitory - L</v>
      </c>
      <c r="J27" s="569" t="s">
        <v>160</v>
      </c>
      <c r="K27" s="569" t="s">
        <v>735</v>
      </c>
      <c r="L27" s="570" t="s">
        <v>755</v>
      </c>
      <c r="M27" s="571">
        <v>50000</v>
      </c>
      <c r="N27" s="572">
        <v>85.721712722298221</v>
      </c>
      <c r="O27" s="573"/>
      <c r="P27" s="574"/>
      <c r="Q27" s="575"/>
      <c r="R27" s="574"/>
      <c r="S27" s="573"/>
      <c r="T27" s="575"/>
      <c r="U27" s="574"/>
      <c r="V27" s="573"/>
      <c r="W27" s="575"/>
      <c r="X27" s="574"/>
      <c r="Y27" s="573"/>
      <c r="Z27" s="573"/>
      <c r="AA27" s="573"/>
      <c r="AB27" s="575"/>
      <c r="AC27" s="574"/>
      <c r="AD27" s="575"/>
      <c r="AE27" s="574"/>
      <c r="AF27" s="575"/>
      <c r="AG27" s="574"/>
      <c r="AH27" s="573"/>
      <c r="AI27" s="573"/>
      <c r="AJ27" s="573"/>
      <c r="AK27" s="575"/>
      <c r="AL27" s="576"/>
      <c r="AM27" s="503"/>
      <c r="AN27" s="758"/>
      <c r="AO27" s="758"/>
      <c r="AP27" s="503"/>
      <c r="AQ27" s="503"/>
      <c r="AR27" s="503"/>
      <c r="AS27" s="503"/>
    </row>
    <row r="28" spans="2:45" ht="21.95" customHeight="1" thickBot="1">
      <c r="B28" s="592" t="s">
        <v>756</v>
      </c>
      <c r="C28" s="593" t="s">
        <v>160</v>
      </c>
      <c r="D28" s="568" t="s">
        <v>625</v>
      </c>
      <c r="E28" s="565">
        <v>6</v>
      </c>
      <c r="F28" s="565" t="s">
        <v>160</v>
      </c>
      <c r="G28" s="566" t="s">
        <v>726</v>
      </c>
      <c r="H28" s="607"/>
      <c r="I28" s="596" t="str">
        <f t="shared" si="1"/>
        <v>Renovate Dormitory - Historic</v>
      </c>
      <c r="J28" s="597" t="s">
        <v>160</v>
      </c>
      <c r="K28" s="597" t="s">
        <v>735</v>
      </c>
      <c r="L28" s="570" t="s">
        <v>757</v>
      </c>
      <c r="M28" s="616">
        <v>46239</v>
      </c>
      <c r="N28" s="598">
        <v>375.15209297894648</v>
      </c>
      <c r="O28" s="573"/>
      <c r="P28" s="574" t="e">
        <v>#DIV/0!</v>
      </c>
      <c r="Q28" s="575" t="e">
        <v>#DIV/0!</v>
      </c>
      <c r="R28" s="574" t="e">
        <v>#DIV/0!</v>
      </c>
      <c r="S28" s="573" t="e">
        <v>#DIV/0!</v>
      </c>
      <c r="T28" s="575" t="e">
        <v>#DIV/0!</v>
      </c>
      <c r="U28" s="574" t="e">
        <v>#DIV/0!</v>
      </c>
      <c r="V28" s="573" t="e">
        <v>#DIV/0!</v>
      </c>
      <c r="W28" s="575" t="e">
        <v>#DIV/0!</v>
      </c>
      <c r="X28" s="574" t="e">
        <v>#DIV/0!</v>
      </c>
      <c r="Y28" s="573" t="e">
        <v>#DIV/0!</v>
      </c>
      <c r="Z28" s="573" t="e">
        <v>#DIV/0!</v>
      </c>
      <c r="AA28" s="573" t="e">
        <v>#DIV/0!</v>
      </c>
      <c r="AB28" s="575" t="e">
        <v>#DIV/0!</v>
      </c>
      <c r="AC28" s="574" t="e">
        <v>#DIV/0!</v>
      </c>
      <c r="AD28" s="575" t="e">
        <v>#DIV/0!</v>
      </c>
      <c r="AE28" s="574" t="e">
        <v>#DIV/0!</v>
      </c>
      <c r="AF28" s="575" t="e">
        <v>#DIV/0!</v>
      </c>
      <c r="AG28" s="574" t="e">
        <v>#DIV/0!</v>
      </c>
      <c r="AH28" s="573" t="e">
        <v>#DIV/0!</v>
      </c>
      <c r="AI28" s="573" t="e">
        <v>#DIV/0!</v>
      </c>
      <c r="AJ28" s="573" t="e">
        <v>#DIV/0!</v>
      </c>
      <c r="AK28" s="575" t="e">
        <v>#DIV/0!</v>
      </c>
      <c r="AL28" s="576" t="e">
        <v>#DIV/0!</v>
      </c>
      <c r="AM28" s="503"/>
      <c r="AN28" s="758"/>
      <c r="AO28" s="758"/>
      <c r="AP28" s="503"/>
      <c r="AQ28" s="503"/>
      <c r="AR28" s="503"/>
      <c r="AS28" s="503"/>
    </row>
    <row r="29" spans="2:45" ht="21.95" hidden="1" customHeight="1" thickTop="1" thickBot="1">
      <c r="B29" s="555"/>
      <c r="C29" s="599" t="s">
        <v>284</v>
      </c>
      <c r="D29" s="608" t="s">
        <v>726</v>
      </c>
      <c r="E29" s="565" t="s">
        <v>726</v>
      </c>
      <c r="F29" s="565" t="s">
        <v>726</v>
      </c>
      <c r="G29" s="579"/>
      <c r="H29" s="609"/>
      <c r="I29" s="610"/>
      <c r="J29" s="610"/>
      <c r="K29" s="611"/>
      <c r="L29" s="611"/>
      <c r="M29" s="610"/>
      <c r="N29" s="612"/>
      <c r="O29" s="555"/>
      <c r="P29" s="585"/>
      <c r="Q29" s="586"/>
      <c r="R29" s="587"/>
      <c r="S29" s="588"/>
      <c r="T29" s="589"/>
      <c r="U29" s="590"/>
      <c r="V29" s="588"/>
      <c r="W29" s="589"/>
      <c r="X29" s="590"/>
      <c r="Y29" s="588"/>
      <c r="Z29" s="588"/>
      <c r="AA29" s="588"/>
      <c r="AB29" s="589"/>
      <c r="AC29" s="590"/>
      <c r="AD29" s="589"/>
      <c r="AE29" s="590"/>
      <c r="AF29" s="589"/>
      <c r="AG29" s="590"/>
      <c r="AH29" s="588"/>
      <c r="AI29" s="588"/>
      <c r="AJ29" s="588"/>
      <c r="AK29" s="589"/>
      <c r="AL29" s="591"/>
      <c r="AM29" s="503"/>
      <c r="AN29" s="758"/>
      <c r="AO29" s="758"/>
      <c r="AP29" s="503"/>
      <c r="AQ29" s="503"/>
      <c r="AR29" s="503"/>
      <c r="AS29" s="503"/>
    </row>
    <row r="30" spans="2:45" ht="21.95" hidden="1" customHeight="1" thickTop="1">
      <c r="B30" s="592" t="s">
        <v>758</v>
      </c>
      <c r="C30" s="593" t="s">
        <v>284</v>
      </c>
      <c r="D30" s="540" t="s">
        <v>759</v>
      </c>
      <c r="E30" s="565">
        <v>10</v>
      </c>
      <c r="F30" s="565" t="s">
        <v>160</v>
      </c>
      <c r="G30" s="566" t="s">
        <v>726</v>
      </c>
      <c r="H30" s="567"/>
      <c r="I30" s="540" t="str">
        <f>IF(B30="",D30,HYPERLINK("#'"&amp;B30&amp;"'!a1",D30))</f>
        <v>Equipment Only</v>
      </c>
      <c r="J30" s="569" t="s">
        <v>160</v>
      </c>
      <c r="K30" s="569" t="s">
        <v>735</v>
      </c>
      <c r="L30" s="570" t="s">
        <v>760</v>
      </c>
      <c r="M30" s="571">
        <v>57190</v>
      </c>
      <c r="N30" s="572">
        <v>40.72569917495926</v>
      </c>
      <c r="O30" s="540"/>
      <c r="P30" s="574"/>
      <c r="Q30" s="575"/>
      <c r="R30" s="574"/>
      <c r="S30" s="573"/>
      <c r="T30" s="575"/>
      <c r="U30" s="574"/>
      <c r="V30" s="573"/>
      <c r="W30" s="575"/>
      <c r="X30" s="574"/>
      <c r="Y30" s="573"/>
      <c r="Z30" s="573"/>
      <c r="AA30" s="573"/>
      <c r="AB30" s="575"/>
      <c r="AC30" s="574"/>
      <c r="AD30" s="575"/>
      <c r="AE30" s="574"/>
      <c r="AF30" s="575"/>
      <c r="AG30" s="574"/>
      <c r="AH30" s="573"/>
      <c r="AI30" s="573"/>
      <c r="AJ30" s="573"/>
      <c r="AK30" s="575"/>
      <c r="AL30" s="576"/>
      <c r="AM30" s="503"/>
      <c r="AN30" s="758"/>
      <c r="AO30" s="758"/>
      <c r="AP30" s="503"/>
      <c r="AQ30" s="503"/>
      <c r="AR30" s="503"/>
      <c r="AS30" s="503"/>
    </row>
    <row r="31" spans="2:45" ht="12.75" hidden="1" customHeight="1">
      <c r="B31" s="758"/>
      <c r="C31" s="758"/>
      <c r="D31" s="758"/>
      <c r="E31" s="565" t="s">
        <v>726</v>
      </c>
      <c r="F31" s="565" t="s">
        <v>726</v>
      </c>
      <c r="G31" s="758"/>
      <c r="H31" s="758"/>
      <c r="I31" s="758"/>
      <c r="J31" s="758"/>
      <c r="K31" s="758"/>
      <c r="L31" s="758"/>
      <c r="M31" s="758"/>
      <c r="N31" s="758"/>
      <c r="O31" s="758"/>
      <c r="P31" s="758"/>
      <c r="Q31" s="758"/>
      <c r="R31" s="758"/>
      <c r="S31" s="758"/>
      <c r="T31" s="758"/>
      <c r="U31" s="758"/>
      <c r="V31" s="758"/>
      <c r="W31" s="758"/>
      <c r="X31" s="758"/>
      <c r="Y31" s="758"/>
      <c r="Z31" s="758"/>
      <c r="AA31" s="758"/>
      <c r="AB31" s="758"/>
      <c r="AC31" s="758"/>
      <c r="AD31" s="758"/>
      <c r="AE31" s="758"/>
      <c r="AF31" s="758"/>
      <c r="AG31" s="758"/>
      <c r="AH31" s="758"/>
      <c r="AI31" s="758"/>
      <c r="AJ31" s="758"/>
      <c r="AK31" s="758"/>
      <c r="AL31" s="758"/>
      <c r="AM31" s="758"/>
      <c r="AN31" s="758"/>
      <c r="AO31" s="758"/>
      <c r="AP31" s="758"/>
      <c r="AQ31" s="758"/>
      <c r="AR31" s="758"/>
      <c r="AS31" s="758"/>
    </row>
    <row r="32" spans="2:45" ht="12.75" hidden="1" customHeight="1" thickBot="1">
      <c r="B32" s="758"/>
      <c r="C32" s="758"/>
      <c r="D32" s="758"/>
      <c r="E32" s="565" t="s">
        <v>726</v>
      </c>
      <c r="F32" s="565" t="s">
        <v>726</v>
      </c>
      <c r="G32" s="758"/>
      <c r="H32" s="758"/>
      <c r="I32" s="758"/>
      <c r="J32" s="758"/>
      <c r="K32" s="758"/>
      <c r="L32" s="758"/>
      <c r="M32" s="758"/>
      <c r="N32" s="758"/>
      <c r="O32" s="758"/>
      <c r="P32" s="758"/>
      <c r="Q32" s="758"/>
      <c r="R32" s="758"/>
      <c r="S32" s="758"/>
      <c r="T32" s="758"/>
      <c r="U32" s="758"/>
      <c r="V32" s="758"/>
      <c r="W32" s="758"/>
      <c r="X32" s="758"/>
      <c r="Y32" s="758"/>
      <c r="Z32" s="758"/>
      <c r="AA32" s="758"/>
      <c r="AB32" s="758"/>
      <c r="AC32" s="758"/>
      <c r="AD32" s="758"/>
      <c r="AE32" s="758"/>
      <c r="AF32" s="758"/>
      <c r="AG32" s="758"/>
      <c r="AH32" s="758"/>
      <c r="AI32" s="758"/>
      <c r="AJ32" s="758"/>
      <c r="AK32" s="758"/>
      <c r="AL32" s="758"/>
      <c r="AM32" s="758"/>
      <c r="AN32" s="758"/>
      <c r="AO32" s="758"/>
      <c r="AP32" s="758"/>
      <c r="AQ32" s="758"/>
      <c r="AR32" s="758"/>
      <c r="AS32" s="758"/>
    </row>
    <row r="33" spans="2:45" ht="21.95" hidden="1" customHeight="1" thickTop="1">
      <c r="B33" s="555"/>
      <c r="C33" s="599"/>
      <c r="D33" s="608" t="s">
        <v>726</v>
      </c>
      <c r="E33" s="565" t="s">
        <v>726</v>
      </c>
      <c r="F33" s="565" t="s">
        <v>726</v>
      </c>
      <c r="G33" s="579"/>
      <c r="H33" s="580"/>
      <c r="I33" s="581"/>
      <c r="J33" s="581"/>
      <c r="K33" s="582"/>
      <c r="L33" s="582"/>
      <c r="M33" s="581"/>
      <c r="N33" s="584"/>
      <c r="O33" s="555"/>
      <c r="P33" s="585"/>
      <c r="Q33" s="586"/>
      <c r="R33" s="587"/>
      <c r="S33" s="588"/>
      <c r="T33" s="589"/>
      <c r="U33" s="590"/>
      <c r="V33" s="588"/>
      <c r="W33" s="589"/>
      <c r="X33" s="590"/>
      <c r="Y33" s="588"/>
      <c r="Z33" s="588"/>
      <c r="AA33" s="588"/>
      <c r="AB33" s="589"/>
      <c r="AC33" s="590"/>
      <c r="AD33" s="589"/>
      <c r="AE33" s="590"/>
      <c r="AF33" s="589"/>
      <c r="AG33" s="590"/>
      <c r="AH33" s="588"/>
      <c r="AI33" s="588"/>
      <c r="AJ33" s="588"/>
      <c r="AK33" s="589"/>
      <c r="AL33" s="591"/>
      <c r="AM33" s="503"/>
      <c r="AN33" s="758"/>
      <c r="AO33" s="758"/>
      <c r="AP33" s="503"/>
      <c r="AQ33" s="503"/>
      <c r="AR33" s="503"/>
      <c r="AS33" s="503"/>
    </row>
    <row r="34" spans="2:45" ht="21.95" hidden="1" customHeight="1">
      <c r="B34" s="564"/>
      <c r="C34" s="593" t="s">
        <v>726</v>
      </c>
      <c r="D34" s="540" t="s">
        <v>726</v>
      </c>
      <c r="E34" s="565" t="s">
        <v>726</v>
      </c>
      <c r="F34" s="565" t="s">
        <v>726</v>
      </c>
      <c r="G34" s="566" t="s">
        <v>726</v>
      </c>
      <c r="H34" s="613"/>
      <c r="I34" s="540" t="str">
        <f>IF(B34="",D34,HYPERLINK("#'"&amp;B34&amp;"'!a1",D34))</f>
        <v/>
      </c>
      <c r="J34" s="569" t="s">
        <v>761</v>
      </c>
      <c r="K34" s="569" t="s">
        <v>726</v>
      </c>
      <c r="L34" s="570" t="s">
        <v>726</v>
      </c>
      <c r="M34" s="571" t="s">
        <v>726</v>
      </c>
      <c r="N34" s="572" t="s">
        <v>761</v>
      </c>
      <c r="O34" s="540"/>
      <c r="P34" s="787"/>
      <c r="Q34" s="614"/>
      <c r="R34" s="787"/>
      <c r="S34" s="573"/>
      <c r="T34" s="614"/>
      <c r="U34" s="787"/>
      <c r="V34" s="788"/>
      <c r="W34" s="614"/>
      <c r="X34" s="787"/>
      <c r="Y34" s="788"/>
      <c r="Z34" s="788"/>
      <c r="AA34" s="788"/>
      <c r="AB34" s="614"/>
      <c r="AC34" s="787"/>
      <c r="AD34" s="614"/>
      <c r="AE34" s="787"/>
      <c r="AF34" s="614"/>
      <c r="AG34" s="787"/>
      <c r="AH34" s="788"/>
      <c r="AI34" s="788"/>
      <c r="AJ34" s="788"/>
      <c r="AK34" s="614"/>
      <c r="AL34" s="615"/>
      <c r="AM34" s="503"/>
      <c r="AN34" s="758"/>
      <c r="AO34" s="758"/>
      <c r="AP34" s="503"/>
      <c r="AQ34" s="503"/>
      <c r="AR34" s="503"/>
      <c r="AS34" s="503"/>
    </row>
    <row r="35" spans="2:45" ht="21.95" hidden="1" customHeight="1" thickBot="1">
      <c r="B35" s="564"/>
      <c r="C35" s="593" t="s">
        <v>726</v>
      </c>
      <c r="D35" s="540" t="s">
        <v>726</v>
      </c>
      <c r="E35" s="565" t="s">
        <v>726</v>
      </c>
      <c r="F35" s="565" t="s">
        <v>726</v>
      </c>
      <c r="G35" s="566" t="s">
        <v>726</v>
      </c>
      <c r="H35" s="567"/>
      <c r="I35" s="540" t="str">
        <f>IF(B35="",D35,HYPERLINK("#'"&amp;B35&amp;"'!a1",D35))</f>
        <v/>
      </c>
      <c r="J35" s="569" t="s">
        <v>761</v>
      </c>
      <c r="K35" s="569" t="s">
        <v>726</v>
      </c>
      <c r="L35" s="570" t="s">
        <v>726</v>
      </c>
      <c r="M35" s="571" t="s">
        <v>726</v>
      </c>
      <c r="N35" s="572" t="s">
        <v>761</v>
      </c>
      <c r="O35" s="540"/>
      <c r="P35" s="574"/>
      <c r="Q35" s="575"/>
      <c r="R35" s="574"/>
      <c r="S35" s="573"/>
      <c r="T35" s="575"/>
      <c r="U35" s="574"/>
      <c r="V35" s="573"/>
      <c r="W35" s="575"/>
      <c r="X35" s="574"/>
      <c r="Y35" s="573"/>
      <c r="Z35" s="573"/>
      <c r="AA35" s="573"/>
      <c r="AB35" s="575"/>
      <c r="AC35" s="574"/>
      <c r="AD35" s="575"/>
      <c r="AE35" s="574"/>
      <c r="AF35" s="575"/>
      <c r="AG35" s="574"/>
      <c r="AH35" s="573"/>
      <c r="AI35" s="573"/>
      <c r="AJ35" s="573"/>
      <c r="AK35" s="575"/>
      <c r="AL35" s="576"/>
      <c r="AM35" s="503"/>
      <c r="AN35" s="758"/>
      <c r="AO35" s="758"/>
      <c r="AP35" s="503"/>
      <c r="AQ35" s="503"/>
      <c r="AR35" s="503"/>
      <c r="AS35" s="503"/>
    </row>
    <row r="36" spans="2:45" ht="21.95" customHeight="1" thickTop="1">
      <c r="B36" s="555"/>
      <c r="C36" s="556" t="s">
        <v>160</v>
      </c>
      <c r="D36" s="555" t="s">
        <v>571</v>
      </c>
      <c r="E36" s="565" t="s">
        <v>726</v>
      </c>
      <c r="F36" s="565" t="s">
        <v>726</v>
      </c>
      <c r="G36" s="579"/>
      <c r="H36" s="580" t="s">
        <v>571</v>
      </c>
      <c r="I36" s="581"/>
      <c r="J36" s="581"/>
      <c r="K36" s="582"/>
      <c r="L36" s="583"/>
      <c r="M36" s="581"/>
      <c r="N36" s="584"/>
      <c r="O36" s="642"/>
      <c r="P36" s="585"/>
      <c r="Q36" s="586"/>
      <c r="R36" s="587"/>
      <c r="S36" s="588"/>
      <c r="T36" s="589"/>
      <c r="U36" s="590"/>
      <c r="V36" s="588"/>
      <c r="W36" s="589"/>
      <c r="X36" s="590"/>
      <c r="Y36" s="588"/>
      <c r="Z36" s="588"/>
      <c r="AA36" s="588"/>
      <c r="AB36" s="589"/>
      <c r="AC36" s="590"/>
      <c r="AD36" s="589"/>
      <c r="AE36" s="590"/>
      <c r="AF36" s="589"/>
      <c r="AG36" s="590"/>
      <c r="AH36" s="588"/>
      <c r="AI36" s="588"/>
      <c r="AJ36" s="588"/>
      <c r="AK36" s="589"/>
      <c r="AL36" s="591"/>
      <c r="AM36" s="503"/>
      <c r="AN36" s="758"/>
      <c r="AO36" s="758"/>
      <c r="AP36" s="503"/>
      <c r="AQ36" s="503"/>
      <c r="AR36" s="503"/>
      <c r="AS36" s="503"/>
    </row>
    <row r="37" spans="2:45" ht="21.95" customHeight="1">
      <c r="B37" s="592" t="s">
        <v>591</v>
      </c>
      <c r="C37" s="593" t="s">
        <v>160</v>
      </c>
      <c r="D37" s="568" t="s">
        <v>591</v>
      </c>
      <c r="E37" s="565">
        <v>6</v>
      </c>
      <c r="F37" s="565" t="s">
        <v>160</v>
      </c>
      <c r="G37" s="566" t="s">
        <v>726</v>
      </c>
      <c r="H37" s="606"/>
      <c r="I37" s="568" t="str">
        <f>IF(B37="",D37,HYPERLINK("#'"&amp;B37&amp;"'!a1",D37))</f>
        <v>New Dining Hall</v>
      </c>
      <c r="J37" s="569" t="s">
        <v>160</v>
      </c>
      <c r="K37" s="569" t="s">
        <v>735</v>
      </c>
      <c r="L37" s="570" t="s">
        <v>762</v>
      </c>
      <c r="M37" s="571">
        <v>49897.5</v>
      </c>
      <c r="N37" s="572">
        <v>692.94709244206888</v>
      </c>
      <c r="O37" s="573"/>
      <c r="P37" s="574" t="e">
        <v>#DIV/0!</v>
      </c>
      <c r="Q37" s="575" t="e">
        <v>#DIV/0!</v>
      </c>
      <c r="R37" s="574" t="e">
        <v>#DIV/0!</v>
      </c>
      <c r="S37" s="573" t="e">
        <v>#DIV/0!</v>
      </c>
      <c r="T37" s="575" t="e">
        <v>#DIV/0!</v>
      </c>
      <c r="U37" s="574" t="e">
        <v>#DIV/0!</v>
      </c>
      <c r="V37" s="573" t="e">
        <v>#DIV/0!</v>
      </c>
      <c r="W37" s="575" t="e">
        <v>#DIV/0!</v>
      </c>
      <c r="X37" s="574" t="e">
        <v>#DIV/0!</v>
      </c>
      <c r="Y37" s="573" t="e">
        <v>#DIV/0!</v>
      </c>
      <c r="Z37" s="573" t="e">
        <v>#DIV/0!</v>
      </c>
      <c r="AA37" s="573" t="e">
        <v>#DIV/0!</v>
      </c>
      <c r="AB37" s="575" t="e">
        <v>#DIV/0!</v>
      </c>
      <c r="AC37" s="574" t="e">
        <v>#DIV/0!</v>
      </c>
      <c r="AD37" s="575" t="e">
        <v>#DIV/0!</v>
      </c>
      <c r="AE37" s="574" t="e">
        <v>#DIV/0!</v>
      </c>
      <c r="AF37" s="575" t="e">
        <v>#DIV/0!</v>
      </c>
      <c r="AG37" s="574" t="e">
        <v>#DIV/0!</v>
      </c>
      <c r="AH37" s="573" t="e">
        <v>#DIV/0!</v>
      </c>
      <c r="AI37" s="573" t="e">
        <v>#DIV/0!</v>
      </c>
      <c r="AJ37" s="573" t="e">
        <v>#DIV/0!</v>
      </c>
      <c r="AK37" s="575" t="e">
        <v>#DIV/0!</v>
      </c>
      <c r="AL37" s="576" t="e">
        <v>#DIV/0!</v>
      </c>
      <c r="AM37" s="503"/>
      <c r="AN37" s="758"/>
      <c r="AO37" s="758"/>
      <c r="AP37" s="503"/>
      <c r="AQ37" s="503"/>
      <c r="AR37" s="503"/>
      <c r="AS37" s="503"/>
    </row>
    <row r="38" spans="2:45" ht="21.95" customHeight="1">
      <c r="B38" s="592" t="s">
        <v>763</v>
      </c>
      <c r="C38" s="593" t="s">
        <v>160</v>
      </c>
      <c r="D38" s="568" t="s">
        <v>611</v>
      </c>
      <c r="E38" s="565">
        <v>12</v>
      </c>
      <c r="F38" s="565" t="s">
        <v>160</v>
      </c>
      <c r="G38" s="566" t="s">
        <v>726</v>
      </c>
      <c r="H38" s="606"/>
      <c r="I38" s="568" t="str">
        <f>IF(B38="",D38,HYPERLINK("#'"&amp;B38&amp;"'!a1",D38))</f>
        <v>Renovate Dining Hall</v>
      </c>
      <c r="J38" s="569" t="s">
        <v>160</v>
      </c>
      <c r="K38" s="569" t="s">
        <v>735</v>
      </c>
      <c r="L38" s="570" t="s">
        <v>764</v>
      </c>
      <c r="M38" s="571">
        <v>12700</v>
      </c>
      <c r="N38" s="572">
        <v>228.71723845356786</v>
      </c>
      <c r="O38" s="573"/>
      <c r="P38" s="574" t="e">
        <v>#DIV/0!</v>
      </c>
      <c r="Q38" s="575" t="e">
        <v>#DIV/0!</v>
      </c>
      <c r="R38" s="574" t="e">
        <v>#DIV/0!</v>
      </c>
      <c r="S38" s="573" t="e">
        <v>#DIV/0!</v>
      </c>
      <c r="T38" s="575" t="e">
        <v>#DIV/0!</v>
      </c>
      <c r="U38" s="574" t="e">
        <v>#DIV/0!</v>
      </c>
      <c r="V38" s="573" t="e">
        <v>#DIV/0!</v>
      </c>
      <c r="W38" s="575" t="e">
        <v>#DIV/0!</v>
      </c>
      <c r="X38" s="574" t="e">
        <v>#DIV/0!</v>
      </c>
      <c r="Y38" s="573" t="e">
        <v>#DIV/0!</v>
      </c>
      <c r="Z38" s="573" t="e">
        <v>#DIV/0!</v>
      </c>
      <c r="AA38" s="573" t="e">
        <v>#DIV/0!</v>
      </c>
      <c r="AB38" s="575" t="e">
        <v>#DIV/0!</v>
      </c>
      <c r="AC38" s="574" t="e">
        <v>#DIV/0!</v>
      </c>
      <c r="AD38" s="575" t="e">
        <v>#DIV/0!</v>
      </c>
      <c r="AE38" s="574" t="e">
        <v>#DIV/0!</v>
      </c>
      <c r="AF38" s="575" t="e">
        <v>#DIV/0!</v>
      </c>
      <c r="AG38" s="574" t="e">
        <v>#DIV/0!</v>
      </c>
      <c r="AH38" s="573" t="e">
        <v>#DIV/0!</v>
      </c>
      <c r="AI38" s="573" t="e">
        <v>#DIV/0!</v>
      </c>
      <c r="AJ38" s="573" t="e">
        <v>#DIV/0!</v>
      </c>
      <c r="AK38" s="575" t="e">
        <v>#DIV/0!</v>
      </c>
      <c r="AL38" s="576" t="e">
        <v>#DIV/0!</v>
      </c>
      <c r="AM38" s="503"/>
      <c r="AN38" s="758"/>
      <c r="AO38" s="758"/>
      <c r="AP38" s="503"/>
      <c r="AQ38" s="503"/>
      <c r="AR38" s="503"/>
      <c r="AS38" s="503"/>
    </row>
    <row r="39" spans="2:45" ht="21.95" customHeight="1" thickBot="1">
      <c r="B39" s="592" t="s">
        <v>626</v>
      </c>
      <c r="C39" s="593" t="s">
        <v>160</v>
      </c>
      <c r="D39" s="568" t="s">
        <v>626</v>
      </c>
      <c r="E39" s="565">
        <v>4</v>
      </c>
      <c r="F39" s="565" t="s">
        <v>160</v>
      </c>
      <c r="G39" s="566" t="s">
        <v>731</v>
      </c>
      <c r="H39" s="606"/>
      <c r="I39" s="568" t="str">
        <f>IF(B39="",D39,HYPERLINK("#'"&amp;B39&amp;"'!a1",D39))</f>
        <v>New Restaurant</v>
      </c>
      <c r="J39" s="569" t="s">
        <v>160</v>
      </c>
      <c r="K39" s="569" t="s">
        <v>735</v>
      </c>
      <c r="L39" s="570" t="s">
        <v>765</v>
      </c>
      <c r="M39" s="571">
        <v>11829.5</v>
      </c>
      <c r="N39" s="572">
        <v>498.29505858472908</v>
      </c>
      <c r="O39" s="573"/>
      <c r="P39" s="574" t="e">
        <v>#DIV/0!</v>
      </c>
      <c r="Q39" s="575" t="e">
        <v>#DIV/0!</v>
      </c>
      <c r="R39" s="574" t="e">
        <v>#DIV/0!</v>
      </c>
      <c r="S39" s="573" t="e">
        <v>#DIV/0!</v>
      </c>
      <c r="T39" s="575" t="e">
        <v>#DIV/0!</v>
      </c>
      <c r="U39" s="574" t="e">
        <v>#DIV/0!</v>
      </c>
      <c r="V39" s="573" t="e">
        <v>#DIV/0!</v>
      </c>
      <c r="W39" s="575" t="e">
        <v>#DIV/0!</v>
      </c>
      <c r="X39" s="574" t="e">
        <v>#DIV/0!</v>
      </c>
      <c r="Y39" s="573" t="e">
        <v>#DIV/0!</v>
      </c>
      <c r="Z39" s="573" t="e">
        <v>#DIV/0!</v>
      </c>
      <c r="AA39" s="573" t="e">
        <v>#DIV/0!</v>
      </c>
      <c r="AB39" s="575" t="e">
        <v>#DIV/0!</v>
      </c>
      <c r="AC39" s="574" t="e">
        <v>#DIV/0!</v>
      </c>
      <c r="AD39" s="575" t="e">
        <v>#DIV/0!</v>
      </c>
      <c r="AE39" s="574" t="e">
        <v>#DIV/0!</v>
      </c>
      <c r="AF39" s="575" t="e">
        <v>#DIV/0!</v>
      </c>
      <c r="AG39" s="574" t="e">
        <v>#DIV/0!</v>
      </c>
      <c r="AH39" s="573" t="e">
        <v>#DIV/0!</v>
      </c>
      <c r="AI39" s="573" t="e">
        <v>#DIV/0!</v>
      </c>
      <c r="AJ39" s="573" t="e">
        <v>#DIV/0!</v>
      </c>
      <c r="AK39" s="575" t="e">
        <v>#DIV/0!</v>
      </c>
      <c r="AL39" s="576" t="e">
        <v>#DIV/0!</v>
      </c>
      <c r="AM39" s="503"/>
      <c r="AN39" s="758"/>
      <c r="AO39" s="758"/>
      <c r="AP39" s="503"/>
      <c r="AQ39" s="503"/>
      <c r="AR39" s="503"/>
      <c r="AS39" s="503"/>
    </row>
    <row r="40" spans="2:45" ht="21.95" customHeight="1" thickTop="1">
      <c r="B40" s="555"/>
      <c r="C40" s="556" t="s">
        <v>160</v>
      </c>
      <c r="D40" s="555" t="s">
        <v>766</v>
      </c>
      <c r="E40" s="565" t="s">
        <v>726</v>
      </c>
      <c r="F40" s="565" t="s">
        <v>726</v>
      </c>
      <c r="G40" s="579"/>
      <c r="H40" s="580" t="s">
        <v>766</v>
      </c>
      <c r="I40" s="581"/>
      <c r="J40" s="581"/>
      <c r="K40" s="582"/>
      <c r="L40" s="583"/>
      <c r="M40" s="581"/>
      <c r="N40" s="584"/>
      <c r="O40" s="642"/>
      <c r="P40" s="585"/>
      <c r="Q40" s="586"/>
      <c r="R40" s="587"/>
      <c r="S40" s="588"/>
      <c r="T40" s="589"/>
      <c r="U40" s="590"/>
      <c r="V40" s="588"/>
      <c r="W40" s="589"/>
      <c r="X40" s="590"/>
      <c r="Y40" s="588"/>
      <c r="Z40" s="588"/>
      <c r="AA40" s="588"/>
      <c r="AB40" s="589"/>
      <c r="AC40" s="590"/>
      <c r="AD40" s="589"/>
      <c r="AE40" s="590"/>
      <c r="AF40" s="589"/>
      <c r="AG40" s="590"/>
      <c r="AH40" s="588"/>
      <c r="AI40" s="588"/>
      <c r="AJ40" s="588"/>
      <c r="AK40" s="589"/>
      <c r="AL40" s="591"/>
      <c r="AM40" s="503"/>
      <c r="AN40" s="758"/>
      <c r="AO40" s="758"/>
      <c r="AP40" s="503"/>
      <c r="AQ40" s="503"/>
      <c r="AR40" s="503"/>
      <c r="AS40" s="503"/>
    </row>
    <row r="41" spans="2:45" ht="21.95" customHeight="1">
      <c r="B41" s="564" t="s">
        <v>767</v>
      </c>
      <c r="C41" s="565" t="s">
        <v>160</v>
      </c>
      <c r="D41" s="540" t="s">
        <v>592</v>
      </c>
      <c r="E41" s="565">
        <v>8</v>
      </c>
      <c r="F41" s="565" t="s">
        <v>160</v>
      </c>
      <c r="G41" s="566" t="s">
        <v>726</v>
      </c>
      <c r="H41" s="606"/>
      <c r="I41" s="540" t="str">
        <f>IF(B41="",D41,HYPERLINK("#'"&amp;B41&amp;"'!a1",D41))</f>
        <v>New Gymnasium</v>
      </c>
      <c r="J41" s="569" t="s">
        <v>160</v>
      </c>
      <c r="K41" s="569" t="s">
        <v>735</v>
      </c>
      <c r="L41" s="570" t="s">
        <v>768</v>
      </c>
      <c r="M41" s="571">
        <v>55912</v>
      </c>
      <c r="N41" s="572">
        <v>693.18766960070309</v>
      </c>
      <c r="O41" s="573"/>
      <c r="P41" s="574" t="e">
        <v>#DIV/0!</v>
      </c>
      <c r="Q41" s="575" t="e">
        <v>#DIV/0!</v>
      </c>
      <c r="R41" s="574" t="e">
        <v>#DIV/0!</v>
      </c>
      <c r="S41" s="573" t="e">
        <v>#DIV/0!</v>
      </c>
      <c r="T41" s="575" t="e">
        <v>#DIV/0!</v>
      </c>
      <c r="U41" s="574" t="e">
        <v>#DIV/0!</v>
      </c>
      <c r="V41" s="573" t="e">
        <v>#DIV/0!</v>
      </c>
      <c r="W41" s="575" t="e">
        <v>#DIV/0!</v>
      </c>
      <c r="X41" s="574" t="e">
        <v>#DIV/0!</v>
      </c>
      <c r="Y41" s="573" t="e">
        <v>#DIV/0!</v>
      </c>
      <c r="Z41" s="573" t="e">
        <v>#DIV/0!</v>
      </c>
      <c r="AA41" s="573" t="e">
        <v>#DIV/0!</v>
      </c>
      <c r="AB41" s="575" t="e">
        <v>#DIV/0!</v>
      </c>
      <c r="AC41" s="574" t="e">
        <v>#DIV/0!</v>
      </c>
      <c r="AD41" s="575" t="e">
        <v>#DIV/0!</v>
      </c>
      <c r="AE41" s="574" t="e">
        <v>#DIV/0!</v>
      </c>
      <c r="AF41" s="575" t="e">
        <v>#DIV/0!</v>
      </c>
      <c r="AG41" s="574" t="e">
        <v>#DIV/0!</v>
      </c>
      <c r="AH41" s="573" t="e">
        <v>#DIV/0!</v>
      </c>
      <c r="AI41" s="573" t="e">
        <v>#DIV/0!</v>
      </c>
      <c r="AJ41" s="573" t="e">
        <v>#DIV/0!</v>
      </c>
      <c r="AK41" s="575" t="e">
        <v>#DIV/0!</v>
      </c>
      <c r="AL41" s="576" t="e">
        <v>#DIV/0!</v>
      </c>
      <c r="AM41" s="503"/>
      <c r="AN41" s="758"/>
      <c r="AO41" s="758"/>
      <c r="AP41" s="503"/>
      <c r="AQ41" s="503"/>
      <c r="AR41" s="503"/>
      <c r="AS41" s="503"/>
    </row>
    <row r="42" spans="2:45" ht="21.95" customHeight="1">
      <c r="B42" s="564" t="s">
        <v>769</v>
      </c>
      <c r="C42" s="565" t="s">
        <v>160</v>
      </c>
      <c r="D42" s="540" t="s">
        <v>612</v>
      </c>
      <c r="E42" s="565">
        <v>5</v>
      </c>
      <c r="F42" s="565" t="s">
        <v>160</v>
      </c>
      <c r="G42" s="566" t="s">
        <v>726</v>
      </c>
      <c r="H42" s="606"/>
      <c r="I42" s="540" t="str">
        <f>IF(B42="",D42,HYPERLINK("#'"&amp;B42&amp;"'!a1",D42))</f>
        <v>Renovate Gymnasium</v>
      </c>
      <c r="J42" s="569" t="s">
        <v>160</v>
      </c>
      <c r="K42" s="569" t="s">
        <v>735</v>
      </c>
      <c r="L42" s="570" t="s">
        <v>770</v>
      </c>
      <c r="M42" s="571">
        <v>90736</v>
      </c>
      <c r="N42" s="572">
        <v>143.34397102085998</v>
      </c>
      <c r="O42" s="573"/>
      <c r="P42" s="574"/>
      <c r="Q42" s="575"/>
      <c r="R42" s="574"/>
      <c r="S42" s="573"/>
      <c r="T42" s="575"/>
      <c r="U42" s="574"/>
      <c r="V42" s="573"/>
      <c r="W42" s="575"/>
      <c r="X42" s="574"/>
      <c r="Y42" s="573"/>
      <c r="Z42" s="573"/>
      <c r="AA42" s="573"/>
      <c r="AB42" s="575"/>
      <c r="AC42" s="574"/>
      <c r="AD42" s="575"/>
      <c r="AE42" s="574"/>
      <c r="AF42" s="575"/>
      <c r="AG42" s="574"/>
      <c r="AH42" s="573"/>
      <c r="AI42" s="573"/>
      <c r="AJ42" s="573"/>
      <c r="AK42" s="575"/>
      <c r="AL42" s="576"/>
      <c r="AM42" s="503"/>
      <c r="AN42" s="758"/>
      <c r="AO42" s="758"/>
      <c r="AP42" s="503"/>
      <c r="AQ42" s="503"/>
      <c r="AR42" s="503"/>
      <c r="AS42" s="503"/>
    </row>
    <row r="43" spans="2:45" ht="21.95" customHeight="1">
      <c r="B43" s="555"/>
      <c r="C43" s="556" t="s">
        <v>160</v>
      </c>
      <c r="D43" s="555" t="s">
        <v>771</v>
      </c>
      <c r="E43" s="565" t="s">
        <v>726</v>
      </c>
      <c r="F43" s="565" t="s">
        <v>726</v>
      </c>
      <c r="G43" s="579"/>
      <c r="H43" s="600" t="s">
        <v>772</v>
      </c>
      <c r="I43" s="555"/>
      <c r="J43" s="617"/>
      <c r="K43" s="618"/>
      <c r="L43" s="618"/>
      <c r="M43" s="617"/>
      <c r="N43" s="619"/>
      <c r="O43" s="642"/>
      <c r="P43" s="585"/>
      <c r="Q43" s="586"/>
      <c r="R43" s="587"/>
      <c r="S43" s="588"/>
      <c r="T43" s="589"/>
      <c r="U43" s="590"/>
      <c r="V43" s="588"/>
      <c r="W43" s="589"/>
      <c r="X43" s="590"/>
      <c r="Y43" s="588"/>
      <c r="Z43" s="588"/>
      <c r="AA43" s="588"/>
      <c r="AB43" s="589"/>
      <c r="AC43" s="590"/>
      <c r="AD43" s="589"/>
      <c r="AE43" s="590"/>
      <c r="AF43" s="589"/>
      <c r="AG43" s="590"/>
      <c r="AH43" s="588"/>
      <c r="AI43" s="588"/>
      <c r="AJ43" s="588"/>
      <c r="AK43" s="589"/>
      <c r="AL43" s="591"/>
      <c r="AM43" s="503"/>
      <c r="AN43" s="758"/>
      <c r="AO43" s="758"/>
      <c r="AP43" s="503"/>
      <c r="AQ43" s="503"/>
      <c r="AR43" s="503"/>
      <c r="AS43" s="503"/>
    </row>
    <row r="44" spans="2:45" ht="21.95" customHeight="1">
      <c r="B44" s="592" t="s">
        <v>773</v>
      </c>
      <c r="C44" s="593" t="s">
        <v>160</v>
      </c>
      <c r="D44" s="568" t="s">
        <v>593</v>
      </c>
      <c r="E44" s="565">
        <v>5</v>
      </c>
      <c r="F44" s="565" t="s">
        <v>160</v>
      </c>
      <c r="G44" s="566" t="s">
        <v>726</v>
      </c>
      <c r="H44" s="606"/>
      <c r="I44" s="568" t="str">
        <f t="shared" ref="I44:I52" si="2">IF(B44="",D44,HYPERLINK("#'"&amp;B44&amp;"'!a1",D44))</f>
        <v>New Dry Lab - L</v>
      </c>
      <c r="J44" s="569" t="s">
        <v>160</v>
      </c>
      <c r="K44" s="569" t="s">
        <v>735</v>
      </c>
      <c r="L44" s="570" t="s">
        <v>774</v>
      </c>
      <c r="M44" s="571">
        <v>51438</v>
      </c>
      <c r="N44" s="572">
        <v>484.24855454575095</v>
      </c>
      <c r="O44" s="573"/>
      <c r="P44" s="574">
        <v>93.750642456849079</v>
      </c>
      <c r="Q44" s="575">
        <v>0</v>
      </c>
      <c r="R44" s="574">
        <v>0</v>
      </c>
      <c r="S44" s="573">
        <v>38.326964226582589</v>
      </c>
      <c r="T44" s="575">
        <v>6.575432340892565</v>
      </c>
      <c r="U44" s="574">
        <v>40.568670402820921</v>
      </c>
      <c r="V44" s="573">
        <v>0</v>
      </c>
      <c r="W44" s="575">
        <v>31.416019963754351</v>
      </c>
      <c r="X44" s="574">
        <v>0</v>
      </c>
      <c r="Y44" s="573">
        <v>0</v>
      </c>
      <c r="Z44" s="573">
        <v>70.826770974066079</v>
      </c>
      <c r="AA44" s="573">
        <v>5.8747634142367726</v>
      </c>
      <c r="AB44" s="575">
        <v>89.165644750120421</v>
      </c>
      <c r="AC44" s="574">
        <v>5.9070927916109737</v>
      </c>
      <c r="AD44" s="575">
        <v>6.1079776340574456</v>
      </c>
      <c r="AE44" s="574">
        <v>0</v>
      </c>
      <c r="AF44" s="575">
        <v>0.31461011015572171</v>
      </c>
      <c r="AG44" s="574">
        <v>9.1707691334318433</v>
      </c>
      <c r="AH44" s="573">
        <v>26.748375003062314</v>
      </c>
      <c r="AI44" s="573">
        <v>23.186180201077814</v>
      </c>
      <c r="AJ44" s="573">
        <v>1.7723961885114541</v>
      </c>
      <c r="AK44" s="575">
        <v>1.7830937593096761</v>
      </c>
      <c r="AL44" s="576">
        <v>56.257061701025918</v>
      </c>
      <c r="AM44" s="503"/>
      <c r="AN44" s="758"/>
      <c r="AO44" s="758"/>
      <c r="AP44" s="503"/>
      <c r="AQ44" s="503"/>
      <c r="AR44" s="503"/>
      <c r="AS44" s="503"/>
    </row>
    <row r="45" spans="2:45" ht="21.95" customHeight="1">
      <c r="B45" s="592" t="s">
        <v>775</v>
      </c>
      <c r="C45" s="593" t="s">
        <v>160</v>
      </c>
      <c r="D45" s="568" t="s">
        <v>613</v>
      </c>
      <c r="E45" s="565">
        <v>10</v>
      </c>
      <c r="F45" s="565" t="s">
        <v>160</v>
      </c>
      <c r="G45" s="566" t="s">
        <v>726</v>
      </c>
      <c r="H45" s="606"/>
      <c r="I45" s="568" t="str">
        <f t="shared" si="2"/>
        <v>New Dry Lab - M</v>
      </c>
      <c r="J45" s="569" t="s">
        <v>160</v>
      </c>
      <c r="K45" s="569" t="s">
        <v>735</v>
      </c>
      <c r="L45" s="570" t="s">
        <v>776</v>
      </c>
      <c r="M45" s="571">
        <v>64834.5</v>
      </c>
      <c r="N45" s="572">
        <v>500.98511093759112</v>
      </c>
      <c r="O45" s="573"/>
      <c r="P45" s="574">
        <v>37.125523886903501</v>
      </c>
      <c r="Q45" s="575">
        <v>0.12504144434780087</v>
      </c>
      <c r="R45" s="574">
        <v>32.210052975498684</v>
      </c>
      <c r="S45" s="573">
        <v>57.00699459975629</v>
      </c>
      <c r="T45" s="575">
        <v>7.5888739504872209</v>
      </c>
      <c r="U45" s="574">
        <v>33.793524305492404</v>
      </c>
      <c r="V45" s="573">
        <v>1.9687964788775503</v>
      </c>
      <c r="W45" s="575">
        <v>24.370483343022226</v>
      </c>
      <c r="X45" s="574">
        <v>3.120912556097807</v>
      </c>
      <c r="Y45" s="573">
        <v>16.076406289645139</v>
      </c>
      <c r="Z45" s="573">
        <v>76.495762978806596</v>
      </c>
      <c r="AA45" s="573">
        <v>6.1983988949496407</v>
      </c>
      <c r="AB45" s="575">
        <v>55.491226895980176</v>
      </c>
      <c r="AC45" s="574">
        <v>1.2932772476050343</v>
      </c>
      <c r="AD45" s="575">
        <v>6.7615079543523144</v>
      </c>
      <c r="AE45" s="574">
        <v>7.5861186861176604</v>
      </c>
      <c r="AF45" s="575">
        <v>6.3721384111344009E-2</v>
      </c>
      <c r="AG45" s="574">
        <v>8.0842685443634341</v>
      </c>
      <c r="AH45" s="573">
        <v>14.037309855802642</v>
      </c>
      <c r="AI45" s="573">
        <v>8.817656962600406</v>
      </c>
      <c r="AJ45" s="573">
        <v>1.66305285825435</v>
      </c>
      <c r="AK45" s="575">
        <v>3.5976921977940277</v>
      </c>
      <c r="AL45" s="576">
        <v>47.744072306288309</v>
      </c>
      <c r="AM45" s="503"/>
      <c r="AN45" s="758"/>
      <c r="AO45" s="758"/>
      <c r="AP45" s="503"/>
      <c r="AQ45" s="503"/>
      <c r="AR45" s="503"/>
      <c r="AS45" s="503"/>
    </row>
    <row r="46" spans="2:45" ht="21.95" customHeight="1">
      <c r="B46" s="592" t="s">
        <v>777</v>
      </c>
      <c r="C46" s="593" t="s">
        <v>160</v>
      </c>
      <c r="D46" s="568" t="s">
        <v>627</v>
      </c>
      <c r="E46" s="565">
        <v>9</v>
      </c>
      <c r="F46" s="565" t="s">
        <v>160</v>
      </c>
      <c r="G46" s="566" t="s">
        <v>726</v>
      </c>
      <c r="H46" s="606"/>
      <c r="I46" s="568" t="str">
        <f t="shared" si="2"/>
        <v>New Dry Lab - H</v>
      </c>
      <c r="J46" s="569" t="s">
        <v>160</v>
      </c>
      <c r="K46" s="569" t="s">
        <v>735</v>
      </c>
      <c r="L46" s="570" t="s">
        <v>778</v>
      </c>
      <c r="M46" s="571">
        <v>147967</v>
      </c>
      <c r="N46" s="572">
        <v>502.86900503498435</v>
      </c>
      <c r="O46" s="573"/>
      <c r="P46" s="574">
        <v>24.555198753425611</v>
      </c>
      <c r="Q46" s="575">
        <v>0</v>
      </c>
      <c r="R46" s="574">
        <v>38.315004032852642</v>
      </c>
      <c r="S46" s="573">
        <v>58.12153285444186</v>
      </c>
      <c r="T46" s="575">
        <v>5.6664733309859248</v>
      </c>
      <c r="U46" s="574">
        <v>63.491715484734328</v>
      </c>
      <c r="V46" s="573">
        <v>0</v>
      </c>
      <c r="W46" s="575">
        <v>13.028236154143647</v>
      </c>
      <c r="X46" s="574">
        <v>4.8954393191768037</v>
      </c>
      <c r="Y46" s="573">
        <v>15.777884355357761</v>
      </c>
      <c r="Z46" s="573">
        <v>74.491854315440577</v>
      </c>
      <c r="AA46" s="573">
        <v>10.684337283788393</v>
      </c>
      <c r="AB46" s="575">
        <v>50.817849069041394</v>
      </c>
      <c r="AC46" s="574">
        <v>7.3254518293655684</v>
      </c>
      <c r="AD46" s="575">
        <v>3.2787085538525229</v>
      </c>
      <c r="AE46" s="574">
        <v>0</v>
      </c>
      <c r="AF46" s="575">
        <v>17.088089728862943</v>
      </c>
      <c r="AG46" s="574">
        <v>13.360600791332301</v>
      </c>
      <c r="AH46" s="573">
        <v>1.8049336454391685</v>
      </c>
      <c r="AI46" s="573">
        <v>0.14590361286453213</v>
      </c>
      <c r="AJ46" s="573">
        <v>0</v>
      </c>
      <c r="AK46" s="575">
        <v>0.65680331518736301</v>
      </c>
      <c r="AL46" s="576">
        <v>99.801029262132587</v>
      </c>
      <c r="AM46" s="503"/>
      <c r="AN46" s="758"/>
      <c r="AO46" s="758"/>
      <c r="AP46" s="503"/>
      <c r="AQ46" s="503"/>
      <c r="AR46" s="503"/>
      <c r="AS46" s="503"/>
    </row>
    <row r="47" spans="2:45" ht="21.95" customHeight="1">
      <c r="B47" s="592" t="s">
        <v>637</v>
      </c>
      <c r="C47" s="593" t="s">
        <v>160</v>
      </c>
      <c r="D47" s="568" t="s">
        <v>637</v>
      </c>
      <c r="E47" s="565">
        <v>2</v>
      </c>
      <c r="F47" s="565" t="s">
        <v>160</v>
      </c>
      <c r="G47" s="566" t="s">
        <v>726</v>
      </c>
      <c r="H47" s="606"/>
      <c r="I47" s="568" t="str">
        <f t="shared" si="2"/>
        <v>New Dry Lab - Automotive</v>
      </c>
      <c r="J47" s="569" t="s">
        <v>160</v>
      </c>
      <c r="K47" s="569" t="s">
        <v>735</v>
      </c>
      <c r="L47" s="570" t="s">
        <v>779</v>
      </c>
      <c r="M47" s="571">
        <v>22235</v>
      </c>
      <c r="N47" s="572">
        <v>370.38108447653792</v>
      </c>
      <c r="O47" s="573"/>
      <c r="P47" s="574" t="e">
        <v>#DIV/0!</v>
      </c>
      <c r="Q47" s="575" t="e">
        <v>#DIV/0!</v>
      </c>
      <c r="R47" s="574" t="e">
        <v>#DIV/0!</v>
      </c>
      <c r="S47" s="573" t="e">
        <v>#DIV/0!</v>
      </c>
      <c r="T47" s="575" t="e">
        <v>#DIV/0!</v>
      </c>
      <c r="U47" s="574" t="e">
        <v>#DIV/0!</v>
      </c>
      <c r="V47" s="573" t="e">
        <v>#DIV/0!</v>
      </c>
      <c r="W47" s="575" t="e">
        <v>#DIV/0!</v>
      </c>
      <c r="X47" s="574" t="e">
        <v>#DIV/0!</v>
      </c>
      <c r="Y47" s="573" t="e">
        <v>#DIV/0!</v>
      </c>
      <c r="Z47" s="573" t="e">
        <v>#DIV/0!</v>
      </c>
      <c r="AA47" s="573" t="e">
        <v>#DIV/0!</v>
      </c>
      <c r="AB47" s="575" t="e">
        <v>#DIV/0!</v>
      </c>
      <c r="AC47" s="574" t="e">
        <v>#DIV/0!</v>
      </c>
      <c r="AD47" s="575" t="e">
        <v>#DIV/0!</v>
      </c>
      <c r="AE47" s="574" t="e">
        <v>#DIV/0!</v>
      </c>
      <c r="AF47" s="575" t="e">
        <v>#DIV/0!</v>
      </c>
      <c r="AG47" s="574" t="e">
        <v>#DIV/0!</v>
      </c>
      <c r="AH47" s="573" t="e">
        <v>#DIV/0!</v>
      </c>
      <c r="AI47" s="573" t="e">
        <v>#DIV/0!</v>
      </c>
      <c r="AJ47" s="573" t="e">
        <v>#DIV/0!</v>
      </c>
      <c r="AK47" s="575" t="e">
        <v>#DIV/0!</v>
      </c>
      <c r="AL47" s="576" t="e">
        <v>#DIV/0!</v>
      </c>
      <c r="AM47" s="503"/>
      <c r="AN47" s="758"/>
      <c r="AO47" s="758"/>
      <c r="AP47" s="503"/>
      <c r="AQ47" s="503"/>
      <c r="AR47" s="503"/>
      <c r="AS47" s="503"/>
    </row>
    <row r="48" spans="2:45" ht="21.95" customHeight="1">
      <c r="B48" s="592" t="s">
        <v>780</v>
      </c>
      <c r="C48" s="593" t="s">
        <v>160</v>
      </c>
      <c r="D48" s="568" t="s">
        <v>642</v>
      </c>
      <c r="E48" s="565">
        <v>3</v>
      </c>
      <c r="F48" s="565" t="s">
        <v>160</v>
      </c>
      <c r="G48" s="566" t="s">
        <v>726</v>
      </c>
      <c r="H48" s="606"/>
      <c r="I48" s="568" t="str">
        <f t="shared" si="2"/>
        <v>Ren. Dry Lab - L</v>
      </c>
      <c r="J48" s="569" t="s">
        <v>160</v>
      </c>
      <c r="K48" s="569" t="s">
        <v>735</v>
      </c>
      <c r="L48" s="570" t="s">
        <v>781</v>
      </c>
      <c r="M48" s="571">
        <v>17450</v>
      </c>
      <c r="N48" s="572">
        <v>138.57413980667943</v>
      </c>
      <c r="O48" s="573"/>
      <c r="P48" s="574" t="e">
        <v>#DIV/0!</v>
      </c>
      <c r="Q48" s="575" t="e">
        <v>#DIV/0!</v>
      </c>
      <c r="R48" s="574" t="e">
        <v>#DIV/0!</v>
      </c>
      <c r="S48" s="573" t="e">
        <v>#DIV/0!</v>
      </c>
      <c r="T48" s="575" t="e">
        <v>#DIV/0!</v>
      </c>
      <c r="U48" s="574" t="e">
        <v>#DIV/0!</v>
      </c>
      <c r="V48" s="573" t="e">
        <v>#DIV/0!</v>
      </c>
      <c r="W48" s="575" t="e">
        <v>#DIV/0!</v>
      </c>
      <c r="X48" s="574" t="e">
        <v>#DIV/0!</v>
      </c>
      <c r="Y48" s="573" t="e">
        <v>#DIV/0!</v>
      </c>
      <c r="Z48" s="573" t="e">
        <v>#DIV/0!</v>
      </c>
      <c r="AA48" s="573" t="e">
        <v>#DIV/0!</v>
      </c>
      <c r="AB48" s="575" t="e">
        <v>#DIV/0!</v>
      </c>
      <c r="AC48" s="574" t="e">
        <v>#DIV/0!</v>
      </c>
      <c r="AD48" s="575" t="e">
        <v>#DIV/0!</v>
      </c>
      <c r="AE48" s="574" t="e">
        <v>#DIV/0!</v>
      </c>
      <c r="AF48" s="575" t="e">
        <v>#DIV/0!</v>
      </c>
      <c r="AG48" s="574" t="e">
        <v>#DIV/0!</v>
      </c>
      <c r="AH48" s="573" t="e">
        <v>#DIV/0!</v>
      </c>
      <c r="AI48" s="573" t="e">
        <v>#DIV/0!</v>
      </c>
      <c r="AJ48" s="573" t="e">
        <v>#DIV/0!</v>
      </c>
      <c r="AK48" s="575" t="e">
        <v>#DIV/0!</v>
      </c>
      <c r="AL48" s="576" t="e">
        <v>#DIV/0!</v>
      </c>
      <c r="AM48" s="503"/>
      <c r="AN48" s="758"/>
      <c r="AO48" s="758"/>
      <c r="AP48" s="503"/>
      <c r="AQ48" s="503"/>
      <c r="AR48" s="503"/>
      <c r="AS48" s="503"/>
    </row>
    <row r="49" spans="2:45" ht="21.95" customHeight="1">
      <c r="B49" s="592" t="s">
        <v>782</v>
      </c>
      <c r="C49" s="593" t="s">
        <v>160</v>
      </c>
      <c r="D49" s="568" t="s">
        <v>646</v>
      </c>
      <c r="E49" s="565">
        <v>5</v>
      </c>
      <c r="F49" s="565" t="s">
        <v>160</v>
      </c>
      <c r="G49" s="566" t="s">
        <v>726</v>
      </c>
      <c r="H49" s="606"/>
      <c r="I49" s="568" t="str">
        <f t="shared" si="2"/>
        <v>Ren. Dry Lab - M</v>
      </c>
      <c r="J49" s="569" t="s">
        <v>160</v>
      </c>
      <c r="K49" s="569" t="s">
        <v>735</v>
      </c>
      <c r="L49" s="570" t="s">
        <v>783</v>
      </c>
      <c r="M49" s="571">
        <v>13190</v>
      </c>
      <c r="N49" s="572">
        <v>297.9718462273209</v>
      </c>
      <c r="O49" s="573"/>
      <c r="P49" s="574">
        <v>0</v>
      </c>
      <c r="Q49" s="575">
        <v>0</v>
      </c>
      <c r="R49" s="574">
        <v>1.5136619443087447</v>
      </c>
      <c r="S49" s="573">
        <v>1.8200136785539816</v>
      </c>
      <c r="T49" s="575">
        <v>0</v>
      </c>
      <c r="U49" s="574">
        <v>34.690788883732296</v>
      </c>
      <c r="V49" s="573">
        <v>0</v>
      </c>
      <c r="W49" s="575">
        <v>23.128683414753301</v>
      </c>
      <c r="X49" s="574">
        <v>0</v>
      </c>
      <c r="Y49" s="573">
        <v>23.85504079140205</v>
      </c>
      <c r="Z49" s="573">
        <v>38.347849785051295</v>
      </c>
      <c r="AA49" s="573">
        <v>7.9053612603810466</v>
      </c>
      <c r="AB49" s="575">
        <v>157.64976257205669</v>
      </c>
      <c r="AC49" s="574">
        <v>3.8701595554469961</v>
      </c>
      <c r="AD49" s="575">
        <v>19.672706233512457</v>
      </c>
      <c r="AE49" s="574">
        <v>2.2122182242305812</v>
      </c>
      <c r="AF49" s="575">
        <v>13.556387396189548</v>
      </c>
      <c r="AG49" s="574">
        <v>0</v>
      </c>
      <c r="AH49" s="573">
        <v>0</v>
      </c>
      <c r="AI49" s="573">
        <v>0</v>
      </c>
      <c r="AJ49" s="573">
        <v>0</v>
      </c>
      <c r="AK49" s="575">
        <v>0</v>
      </c>
      <c r="AL49" s="576">
        <v>36.790645823155842</v>
      </c>
      <c r="AM49" s="503"/>
      <c r="AN49" s="758"/>
      <c r="AO49" s="758"/>
      <c r="AP49" s="503"/>
      <c r="AQ49" s="503"/>
      <c r="AR49" s="503"/>
      <c r="AS49" s="503"/>
    </row>
    <row r="50" spans="2:45" ht="21.95" customHeight="1" thickBot="1">
      <c r="B50" s="592" t="s">
        <v>784</v>
      </c>
      <c r="C50" s="593" t="s">
        <v>160</v>
      </c>
      <c r="D50" s="568" t="s">
        <v>650</v>
      </c>
      <c r="E50" s="565">
        <v>7</v>
      </c>
      <c r="F50" s="565" t="s">
        <v>160</v>
      </c>
      <c r="G50" s="566" t="s">
        <v>726</v>
      </c>
      <c r="H50" s="606"/>
      <c r="I50" s="568" t="str">
        <f t="shared" si="2"/>
        <v>Ren. Dry Lab - H</v>
      </c>
      <c r="J50" s="569" t="s">
        <v>160</v>
      </c>
      <c r="K50" s="569" t="s">
        <v>735</v>
      </c>
      <c r="L50" s="570" t="s">
        <v>785</v>
      </c>
      <c r="M50" s="571">
        <v>6300</v>
      </c>
      <c r="N50" s="572">
        <v>449.83719782930439</v>
      </c>
      <c r="O50" s="573"/>
      <c r="P50" s="574">
        <v>25.092761368106949</v>
      </c>
      <c r="Q50" s="575">
        <v>0</v>
      </c>
      <c r="R50" s="574">
        <v>56.831710692429716</v>
      </c>
      <c r="S50" s="573">
        <v>52.879806392437686</v>
      </c>
      <c r="T50" s="575">
        <v>11.163079493241488</v>
      </c>
      <c r="U50" s="574">
        <v>41.547562513221969</v>
      </c>
      <c r="V50" s="573">
        <v>0</v>
      </c>
      <c r="W50" s="575">
        <v>17.522749559963703</v>
      </c>
      <c r="X50" s="574">
        <v>4.3539846133433295</v>
      </c>
      <c r="Y50" s="573">
        <v>13.178955188670493</v>
      </c>
      <c r="Z50" s="573">
        <v>91.623337217189118</v>
      </c>
      <c r="AA50" s="573">
        <v>6.521386645536265</v>
      </c>
      <c r="AB50" s="575">
        <v>38.941778677109852</v>
      </c>
      <c r="AC50" s="574">
        <v>0.4027915281066517</v>
      </c>
      <c r="AD50" s="575">
        <v>0</v>
      </c>
      <c r="AE50" s="574">
        <v>0</v>
      </c>
      <c r="AF50" s="575">
        <v>34.939523518049612</v>
      </c>
      <c r="AG50" s="574">
        <v>9.3774279269488723</v>
      </c>
      <c r="AH50" s="573">
        <v>26.474182865121104</v>
      </c>
      <c r="AI50" s="573">
        <v>20.118227687120971</v>
      </c>
      <c r="AJ50" s="573">
        <v>3.7683813550682346</v>
      </c>
      <c r="AK50" s="575">
        <v>1.6317852025558757</v>
      </c>
      <c r="AL50" s="576">
        <v>41.238180258538144</v>
      </c>
      <c r="AM50" s="503"/>
      <c r="AN50" s="758"/>
      <c r="AO50" s="758"/>
      <c r="AP50" s="503"/>
      <c r="AQ50" s="503"/>
      <c r="AR50" s="503"/>
      <c r="AS50" s="503"/>
    </row>
    <row r="51" spans="2:45" ht="21.95" hidden="1" customHeight="1">
      <c r="B51" s="592"/>
      <c r="C51" s="593" t="s">
        <v>726</v>
      </c>
      <c r="D51" s="568" t="s">
        <v>726</v>
      </c>
      <c r="E51" s="565" t="s">
        <v>726</v>
      </c>
      <c r="F51" s="565" t="s">
        <v>726</v>
      </c>
      <c r="G51" s="566" t="s">
        <v>726</v>
      </c>
      <c r="H51" s="567"/>
      <c r="I51" s="568" t="str">
        <f t="shared" si="2"/>
        <v/>
      </c>
      <c r="J51" s="569" t="s">
        <v>761</v>
      </c>
      <c r="K51" s="569" t="s">
        <v>726</v>
      </c>
      <c r="L51" s="570" t="s">
        <v>726</v>
      </c>
      <c r="M51" s="571" t="s">
        <v>726</v>
      </c>
      <c r="N51" s="572" t="s">
        <v>761</v>
      </c>
      <c r="O51" s="526"/>
      <c r="P51" s="574">
        <v>0</v>
      </c>
      <c r="Q51" s="575">
        <v>0</v>
      </c>
      <c r="R51" s="574">
        <v>0</v>
      </c>
      <c r="S51" s="573" t="s">
        <v>786</v>
      </c>
      <c r="T51" s="575">
        <v>0</v>
      </c>
      <c r="U51" s="574">
        <v>0</v>
      </c>
      <c r="V51" s="573">
        <v>0</v>
      </c>
      <c r="W51" s="575">
        <v>0</v>
      </c>
      <c r="X51" s="574">
        <v>0</v>
      </c>
      <c r="Y51" s="573">
        <v>0</v>
      </c>
      <c r="Z51" s="573">
        <v>0</v>
      </c>
      <c r="AA51" s="573">
        <v>41.526598242699443</v>
      </c>
      <c r="AB51" s="575" t="e">
        <v>#DIV/0!</v>
      </c>
      <c r="AC51" s="574" t="s">
        <v>787</v>
      </c>
      <c r="AD51" s="575" t="e">
        <v>#DIV/0!</v>
      </c>
      <c r="AE51" s="574" t="e">
        <v>#DIV/0!</v>
      </c>
      <c r="AF51" s="575" t="e">
        <v>#DIV/0!</v>
      </c>
      <c r="AG51" s="574" t="e">
        <v>#DIV/0!</v>
      </c>
      <c r="AH51" s="573" t="e">
        <v>#DIV/0!</v>
      </c>
      <c r="AI51" s="573" t="e">
        <v>#DIV/0!</v>
      </c>
      <c r="AJ51" s="573" t="e">
        <v>#DIV/0!</v>
      </c>
      <c r="AK51" s="575" t="e">
        <v>#DIV/0!</v>
      </c>
      <c r="AL51" s="576" t="e">
        <v>#DIV/0!</v>
      </c>
      <c r="AM51" s="503"/>
      <c r="AN51" s="758"/>
      <c r="AO51" s="758"/>
      <c r="AP51" s="503"/>
      <c r="AQ51" s="503"/>
      <c r="AR51" s="503"/>
      <c r="AS51" s="503"/>
    </row>
    <row r="52" spans="2:45" ht="21.95" hidden="1" customHeight="1" thickBot="1">
      <c r="B52" s="592"/>
      <c r="C52" s="593" t="s">
        <v>726</v>
      </c>
      <c r="D52" s="568" t="s">
        <v>726</v>
      </c>
      <c r="E52" s="565" t="s">
        <v>726</v>
      </c>
      <c r="F52" s="565" t="s">
        <v>726</v>
      </c>
      <c r="G52" s="566" t="s">
        <v>726</v>
      </c>
      <c r="H52" s="567"/>
      <c r="I52" s="568" t="str">
        <f t="shared" si="2"/>
        <v/>
      </c>
      <c r="J52" s="569" t="s">
        <v>761</v>
      </c>
      <c r="K52" s="569" t="s">
        <v>726</v>
      </c>
      <c r="L52" s="570" t="s">
        <v>726</v>
      </c>
      <c r="M52" s="571" t="s">
        <v>726</v>
      </c>
      <c r="N52" s="572" t="s">
        <v>761</v>
      </c>
      <c r="O52" s="526"/>
      <c r="P52" s="574">
        <v>0</v>
      </c>
      <c r="Q52" s="575">
        <v>0</v>
      </c>
      <c r="R52" s="574">
        <v>0</v>
      </c>
      <c r="S52" s="573" t="s">
        <v>786</v>
      </c>
      <c r="T52" s="575">
        <v>0</v>
      </c>
      <c r="U52" s="574">
        <v>0</v>
      </c>
      <c r="V52" s="573">
        <v>0</v>
      </c>
      <c r="W52" s="575">
        <v>0</v>
      </c>
      <c r="X52" s="574">
        <v>0</v>
      </c>
      <c r="Y52" s="573">
        <v>0</v>
      </c>
      <c r="Z52" s="573">
        <v>0</v>
      </c>
      <c r="AA52" s="573">
        <v>41.526598242699443</v>
      </c>
      <c r="AB52" s="575" t="e">
        <v>#DIV/0!</v>
      </c>
      <c r="AC52" s="574" t="s">
        <v>787</v>
      </c>
      <c r="AD52" s="575" t="e">
        <v>#DIV/0!</v>
      </c>
      <c r="AE52" s="574" t="e">
        <v>#DIV/0!</v>
      </c>
      <c r="AF52" s="575" t="e">
        <v>#DIV/0!</v>
      </c>
      <c r="AG52" s="574" t="e">
        <v>#DIV/0!</v>
      </c>
      <c r="AH52" s="573" t="e">
        <v>#DIV/0!</v>
      </c>
      <c r="AI52" s="573" t="e">
        <v>#DIV/0!</v>
      </c>
      <c r="AJ52" s="573" t="e">
        <v>#DIV/0!</v>
      </c>
      <c r="AK52" s="575" t="e">
        <v>#DIV/0!</v>
      </c>
      <c r="AL52" s="576" t="e">
        <v>#DIV/0!</v>
      </c>
      <c r="AM52" s="503"/>
      <c r="AN52" s="758"/>
      <c r="AO52" s="758"/>
      <c r="AP52" s="503"/>
      <c r="AQ52" s="503"/>
      <c r="AR52" s="503"/>
      <c r="AS52" s="503"/>
    </row>
    <row r="53" spans="2:45" ht="21.95" customHeight="1" thickTop="1">
      <c r="B53" s="603"/>
      <c r="C53" s="599" t="s">
        <v>160</v>
      </c>
      <c r="D53" s="603" t="s">
        <v>788</v>
      </c>
      <c r="E53" s="565" t="s">
        <v>726</v>
      </c>
      <c r="F53" s="565" t="s">
        <v>726</v>
      </c>
      <c r="G53" s="604"/>
      <c r="H53" s="580" t="s">
        <v>788</v>
      </c>
      <c r="I53" s="605"/>
      <c r="J53" s="621"/>
      <c r="K53" s="622"/>
      <c r="L53" s="618"/>
      <c r="M53" s="621"/>
      <c r="N53" s="584"/>
      <c r="O53" s="642"/>
      <c r="P53" s="585"/>
      <c r="Q53" s="586"/>
      <c r="R53" s="587"/>
      <c r="S53" s="588"/>
      <c r="T53" s="589"/>
      <c r="U53" s="590"/>
      <c r="V53" s="588"/>
      <c r="W53" s="589"/>
      <c r="X53" s="590"/>
      <c r="Y53" s="588"/>
      <c r="Z53" s="588"/>
      <c r="AA53" s="588"/>
      <c r="AB53" s="589"/>
      <c r="AC53" s="590"/>
      <c r="AD53" s="589"/>
      <c r="AE53" s="590"/>
      <c r="AF53" s="589"/>
      <c r="AG53" s="590"/>
      <c r="AH53" s="588"/>
      <c r="AI53" s="588"/>
      <c r="AJ53" s="588"/>
      <c r="AK53" s="589"/>
      <c r="AL53" s="591"/>
      <c r="AM53" s="503"/>
      <c r="AN53" s="758"/>
      <c r="AO53" s="758"/>
      <c r="AP53" s="503"/>
      <c r="AQ53" s="503"/>
      <c r="AR53" s="503"/>
      <c r="AS53" s="503"/>
    </row>
    <row r="54" spans="2:45" ht="21.95" customHeight="1">
      <c r="B54" s="564" t="s">
        <v>789</v>
      </c>
      <c r="C54" s="565" t="s">
        <v>160</v>
      </c>
      <c r="D54" s="540" t="s">
        <v>594</v>
      </c>
      <c r="E54" s="565">
        <v>12</v>
      </c>
      <c r="F54" s="565" t="s">
        <v>160</v>
      </c>
      <c r="G54" s="566" t="s">
        <v>726</v>
      </c>
      <c r="H54" s="606"/>
      <c r="I54" s="540" t="str">
        <f>IF(B54="",D54,HYPERLINK("#'"&amp;B54&amp;"'!a1",D54))</f>
        <v>New Wet Lab - M</v>
      </c>
      <c r="J54" s="569" t="s">
        <v>160</v>
      </c>
      <c r="K54" s="569" t="s">
        <v>735</v>
      </c>
      <c r="L54" s="570" t="s">
        <v>790</v>
      </c>
      <c r="M54" s="571">
        <v>23833.5</v>
      </c>
      <c r="N54" s="572">
        <v>362.00734390104753</v>
      </c>
      <c r="O54" s="573"/>
      <c r="P54" s="574">
        <v>18.605677629368664</v>
      </c>
      <c r="Q54" s="575">
        <v>0.40532077231368746</v>
      </c>
      <c r="R54" s="574">
        <v>30.839173525813194</v>
      </c>
      <c r="S54" s="573">
        <v>37.684425976700709</v>
      </c>
      <c r="T54" s="575">
        <v>7.3796233845489336</v>
      </c>
      <c r="U54" s="574">
        <v>18.888006775935356</v>
      </c>
      <c r="V54" s="573">
        <v>35.059590070458427</v>
      </c>
      <c r="W54" s="575">
        <v>4.0565198833430625</v>
      </c>
      <c r="X54" s="574">
        <v>5.6787100051020056</v>
      </c>
      <c r="Y54" s="573">
        <v>35.176318092580118</v>
      </c>
      <c r="Z54" s="573">
        <v>68.234218302276659</v>
      </c>
      <c r="AA54" s="573">
        <v>4.6929200515985192</v>
      </c>
      <c r="AB54" s="575">
        <v>56.805080825742863</v>
      </c>
      <c r="AC54" s="574">
        <v>27.262824429452003</v>
      </c>
      <c r="AD54" s="575">
        <v>0</v>
      </c>
      <c r="AE54" s="574">
        <v>2.6765795523630258</v>
      </c>
      <c r="AF54" s="575">
        <v>3.2645361788701197</v>
      </c>
      <c r="AG54" s="574">
        <v>2.7192038255856366</v>
      </c>
      <c r="AH54" s="573">
        <v>16.327868304964468</v>
      </c>
      <c r="AI54" s="573">
        <v>5.6593098360804515</v>
      </c>
      <c r="AJ54" s="573">
        <v>0.32219457258639705</v>
      </c>
      <c r="AK54" s="575">
        <v>0</v>
      </c>
      <c r="AL54" s="576">
        <v>63.016669464725325</v>
      </c>
      <c r="AM54" s="503"/>
      <c r="AN54" s="758"/>
      <c r="AO54" s="758"/>
      <c r="AP54" s="503"/>
      <c r="AQ54" s="503"/>
      <c r="AR54" s="503"/>
      <c r="AS54" s="503"/>
    </row>
    <row r="55" spans="2:45" ht="21.95" customHeight="1">
      <c r="B55" s="564" t="s">
        <v>791</v>
      </c>
      <c r="C55" s="565" t="s">
        <v>160</v>
      </c>
      <c r="D55" s="540" t="s">
        <v>614</v>
      </c>
      <c r="E55" s="565">
        <v>13</v>
      </c>
      <c r="F55" s="565" t="s">
        <v>160</v>
      </c>
      <c r="G55" s="566" t="s">
        <v>726</v>
      </c>
      <c r="H55" s="606"/>
      <c r="I55" s="540" t="str">
        <f>IF(B55="",D55,HYPERLINK("#'"&amp;B55&amp;"'!a1",D55))</f>
        <v>New Wet Lab - H</v>
      </c>
      <c r="J55" s="569" t="s">
        <v>160</v>
      </c>
      <c r="K55" s="569" t="s">
        <v>735</v>
      </c>
      <c r="L55" s="570" t="s">
        <v>792</v>
      </c>
      <c r="M55" s="571">
        <v>93860</v>
      </c>
      <c r="N55" s="572">
        <v>769.3972828560793</v>
      </c>
      <c r="O55" s="573"/>
      <c r="P55" s="574">
        <v>45.680900282048924</v>
      </c>
      <c r="Q55" s="575">
        <v>0</v>
      </c>
      <c r="R55" s="574">
        <v>32.604970632186486</v>
      </c>
      <c r="S55" s="573">
        <v>68.07967507021651</v>
      </c>
      <c r="T55" s="575">
        <v>4.6365493477024264</v>
      </c>
      <c r="U55" s="574">
        <v>47.35879437664051</v>
      </c>
      <c r="V55" s="573">
        <v>14.348042028651738</v>
      </c>
      <c r="W55" s="575">
        <v>16.878458592632121</v>
      </c>
      <c r="X55" s="574">
        <v>4.628554342175434</v>
      </c>
      <c r="Y55" s="573">
        <v>14.272490002560639</v>
      </c>
      <c r="Z55" s="573">
        <v>137.56164497160734</v>
      </c>
      <c r="AA55" s="573">
        <v>5.9259961389479221</v>
      </c>
      <c r="AB55" s="575">
        <v>60.539010168544849</v>
      </c>
      <c r="AC55" s="574">
        <v>10.412871097299574</v>
      </c>
      <c r="AD55" s="575">
        <v>25.186958843166369</v>
      </c>
      <c r="AE55" s="574">
        <v>0.98105233082170928</v>
      </c>
      <c r="AF55" s="575">
        <v>13.175033647980044</v>
      </c>
      <c r="AG55" s="574">
        <v>14.09023485092837</v>
      </c>
      <c r="AH55" s="573">
        <v>17.89024834239013</v>
      </c>
      <c r="AI55" s="573">
        <v>8.0711761377650273</v>
      </c>
      <c r="AJ55" s="573">
        <v>0.50358346116754171</v>
      </c>
      <c r="AK55" s="575">
        <v>1.326771414083102</v>
      </c>
      <c r="AL55" s="576">
        <v>64.702669807290548</v>
      </c>
      <c r="AM55" s="503"/>
      <c r="AN55" s="758"/>
      <c r="AO55" s="758"/>
      <c r="AP55" s="503"/>
      <c r="AQ55" s="503"/>
      <c r="AR55" s="503"/>
      <c r="AS55" s="503"/>
    </row>
    <row r="56" spans="2:45" ht="21.95" customHeight="1">
      <c r="B56" s="564" t="s">
        <v>793</v>
      </c>
      <c r="C56" s="565" t="s">
        <v>160</v>
      </c>
      <c r="D56" s="540" t="s">
        <v>628</v>
      </c>
      <c r="E56" s="565">
        <v>11</v>
      </c>
      <c r="F56" s="565" t="s">
        <v>160</v>
      </c>
      <c r="G56" s="566" t="s">
        <v>726</v>
      </c>
      <c r="H56" s="606"/>
      <c r="I56" s="540" t="str">
        <f>IF(B56="",D56,HYPERLINK("#'"&amp;B56&amp;"'!a1",D56))</f>
        <v>Renovate Wet Lab - H</v>
      </c>
      <c r="J56" s="569" t="s">
        <v>160</v>
      </c>
      <c r="K56" s="569" t="s">
        <v>735</v>
      </c>
      <c r="L56" s="570" t="s">
        <v>794</v>
      </c>
      <c r="M56" s="571">
        <v>18274</v>
      </c>
      <c r="N56" s="572">
        <v>393.18864940530301</v>
      </c>
      <c r="O56" s="573"/>
      <c r="P56" s="574">
        <v>0</v>
      </c>
      <c r="Q56" s="575">
        <v>0</v>
      </c>
      <c r="R56" s="574">
        <v>1.5309424568440471</v>
      </c>
      <c r="S56" s="573">
        <v>0.37038930407517268</v>
      </c>
      <c r="T56" s="575">
        <v>1.2518207282334661</v>
      </c>
      <c r="U56" s="574">
        <v>41.34783847676939</v>
      </c>
      <c r="V56" s="573">
        <v>0</v>
      </c>
      <c r="W56" s="575">
        <v>29.106378933842528</v>
      </c>
      <c r="X56" s="574">
        <v>0</v>
      </c>
      <c r="Y56" s="573">
        <v>49.245714062410002</v>
      </c>
      <c r="Z56" s="573">
        <v>132.43786524213749</v>
      </c>
      <c r="AA56" s="573">
        <v>5.8155080059326822</v>
      </c>
      <c r="AB56" s="575">
        <v>63.105353147774217</v>
      </c>
      <c r="AC56" s="574">
        <v>12.649303691990399</v>
      </c>
      <c r="AD56" s="575">
        <v>6.4200812706363264</v>
      </c>
      <c r="AE56" s="574">
        <v>15.869425046615021</v>
      </c>
      <c r="AF56" s="575">
        <v>23.344314534369769</v>
      </c>
      <c r="AG56" s="574">
        <v>0</v>
      </c>
      <c r="AH56" s="573">
        <v>0</v>
      </c>
      <c r="AI56" s="573">
        <v>0</v>
      </c>
      <c r="AJ56" s="573">
        <v>0</v>
      </c>
      <c r="AK56" s="575">
        <v>10.969833479895509</v>
      </c>
      <c r="AL56" s="576">
        <v>74.673908469745541</v>
      </c>
      <c r="AM56" s="503"/>
      <c r="AN56" s="758"/>
      <c r="AO56" s="758"/>
      <c r="AP56" s="503"/>
      <c r="AQ56" s="503"/>
      <c r="AR56" s="503"/>
      <c r="AS56" s="503"/>
    </row>
    <row r="57" spans="2:45" ht="21.95" customHeight="1">
      <c r="B57" s="603"/>
      <c r="C57" s="599" t="s">
        <v>160</v>
      </c>
      <c r="D57" s="603" t="s">
        <v>795</v>
      </c>
      <c r="E57" s="565" t="s">
        <v>726</v>
      </c>
      <c r="F57" s="565" t="s">
        <v>726</v>
      </c>
      <c r="G57" s="604"/>
      <c r="H57" s="600" t="s">
        <v>795</v>
      </c>
      <c r="I57" s="603"/>
      <c r="J57" s="617"/>
      <c r="K57" s="618"/>
      <c r="L57" s="618"/>
      <c r="M57" s="617"/>
      <c r="N57" s="601"/>
      <c r="O57" s="642"/>
      <c r="P57" s="585"/>
      <c r="Q57" s="586"/>
      <c r="R57" s="587"/>
      <c r="S57" s="588"/>
      <c r="T57" s="589"/>
      <c r="U57" s="590"/>
      <c r="V57" s="588"/>
      <c r="W57" s="589"/>
      <c r="X57" s="590"/>
      <c r="Y57" s="588"/>
      <c r="Z57" s="588"/>
      <c r="AA57" s="588"/>
      <c r="AB57" s="589"/>
      <c r="AC57" s="590"/>
      <c r="AD57" s="589"/>
      <c r="AE57" s="590"/>
      <c r="AF57" s="589"/>
      <c r="AG57" s="590"/>
      <c r="AH57" s="588"/>
      <c r="AI57" s="588"/>
      <c r="AJ57" s="588"/>
      <c r="AK57" s="589"/>
      <c r="AL57" s="591"/>
      <c r="AM57" s="503"/>
      <c r="AN57" s="758"/>
      <c r="AO57" s="758"/>
      <c r="AP57" s="503"/>
      <c r="AQ57" s="503"/>
      <c r="AR57" s="503"/>
      <c r="AS57" s="503"/>
    </row>
    <row r="58" spans="2:45" ht="21.95" customHeight="1">
      <c r="B58" s="564" t="s">
        <v>595</v>
      </c>
      <c r="C58" s="565" t="s">
        <v>160</v>
      </c>
      <c r="D58" s="540" t="s">
        <v>595</v>
      </c>
      <c r="E58" s="565">
        <v>14</v>
      </c>
      <c r="F58" s="565" t="s">
        <v>160</v>
      </c>
      <c r="G58" s="566" t="s">
        <v>726</v>
      </c>
      <c r="H58" s="606"/>
      <c r="I58" s="540" t="str">
        <f>IF(B58="",D58,HYPERLINK("#'"&amp;B58&amp;"'!a1",D58))</f>
        <v>Research Labs</v>
      </c>
      <c r="J58" s="569" t="s">
        <v>160</v>
      </c>
      <c r="K58" s="569" t="s">
        <v>735</v>
      </c>
      <c r="L58" s="570" t="s">
        <v>796</v>
      </c>
      <c r="M58" s="571">
        <v>51958</v>
      </c>
      <c r="N58" s="572">
        <v>1362.1967923471689</v>
      </c>
      <c r="O58" s="573"/>
      <c r="P58" s="574">
        <v>25.586266259878897</v>
      </c>
      <c r="Q58" s="575">
        <v>0</v>
      </c>
      <c r="R58" s="574">
        <v>41.45050416425719</v>
      </c>
      <c r="S58" s="573">
        <v>49.359428901872427</v>
      </c>
      <c r="T58" s="575">
        <v>10.294322917705241</v>
      </c>
      <c r="U58" s="574">
        <v>42.451507839970233</v>
      </c>
      <c r="V58" s="573">
        <v>0</v>
      </c>
      <c r="W58" s="575">
        <v>23.328447891948663</v>
      </c>
      <c r="X58" s="574">
        <v>4.9087053912673575</v>
      </c>
      <c r="Y58" s="573">
        <v>29.535982771341409</v>
      </c>
      <c r="Z58" s="573">
        <v>72.729147141518283</v>
      </c>
      <c r="AA58" s="573">
        <v>5.1832206690728304</v>
      </c>
      <c r="AB58" s="575">
        <v>67.637958882530071</v>
      </c>
      <c r="AC58" s="574">
        <v>2.9311252467646418</v>
      </c>
      <c r="AD58" s="575">
        <v>3.4105498946472848</v>
      </c>
      <c r="AE58" s="574">
        <v>14.442295293359125</v>
      </c>
      <c r="AF58" s="575">
        <v>0.54042287317128301</v>
      </c>
      <c r="AG58" s="574">
        <v>41.234567655054612</v>
      </c>
      <c r="AH58" s="573">
        <v>3.9615346268121003</v>
      </c>
      <c r="AI58" s="573">
        <v>3.0949969092105531</v>
      </c>
      <c r="AJ58" s="573">
        <v>0</v>
      </c>
      <c r="AK58" s="575">
        <v>0</v>
      </c>
      <c r="AL58" s="576">
        <v>72.420712942099215</v>
      </c>
      <c r="AM58" s="503"/>
      <c r="AN58" s="758"/>
      <c r="AO58" s="758"/>
      <c r="AP58" s="503"/>
      <c r="AQ58" s="503"/>
      <c r="AR58" s="503"/>
      <c r="AS58" s="503"/>
    </row>
    <row r="59" spans="2:45" ht="21.95" customHeight="1">
      <c r="B59" s="564" t="s">
        <v>615</v>
      </c>
      <c r="C59" s="565" t="s">
        <v>160</v>
      </c>
      <c r="D59" s="540" t="s">
        <v>615</v>
      </c>
      <c r="E59" s="565">
        <v>2</v>
      </c>
      <c r="F59" s="565" t="s">
        <v>160</v>
      </c>
      <c r="G59" s="566" t="s">
        <v>726</v>
      </c>
      <c r="H59" s="606"/>
      <c r="I59" s="540" t="str">
        <f>IF(B59="",D59,HYPERLINK("#'"&amp;B59&amp;"'!a1",D59))</f>
        <v>Research Lab Additions</v>
      </c>
      <c r="J59" s="569" t="s">
        <v>160</v>
      </c>
      <c r="K59" s="569" t="s">
        <v>735</v>
      </c>
      <c r="L59" s="570" t="s">
        <v>797</v>
      </c>
      <c r="M59" s="571">
        <v>9602</v>
      </c>
      <c r="N59" s="572">
        <v>1001.3862456892697</v>
      </c>
      <c r="O59" s="573"/>
      <c r="P59" s="574" t="e">
        <v>#DIV/0!</v>
      </c>
      <c r="Q59" s="575" t="e">
        <v>#DIV/0!</v>
      </c>
      <c r="R59" s="574" t="e">
        <v>#DIV/0!</v>
      </c>
      <c r="S59" s="573" t="e">
        <v>#DIV/0!</v>
      </c>
      <c r="T59" s="575" t="e">
        <v>#DIV/0!</v>
      </c>
      <c r="U59" s="574" t="e">
        <v>#DIV/0!</v>
      </c>
      <c r="V59" s="573" t="e">
        <v>#DIV/0!</v>
      </c>
      <c r="W59" s="575" t="e">
        <v>#DIV/0!</v>
      </c>
      <c r="X59" s="574" t="e">
        <v>#DIV/0!</v>
      </c>
      <c r="Y59" s="573" t="e">
        <v>#DIV/0!</v>
      </c>
      <c r="Z59" s="573" t="e">
        <v>#DIV/0!</v>
      </c>
      <c r="AA59" s="573" t="e">
        <v>#DIV/0!</v>
      </c>
      <c r="AB59" s="575" t="e">
        <v>#DIV/0!</v>
      </c>
      <c r="AC59" s="574" t="e">
        <v>#DIV/0!</v>
      </c>
      <c r="AD59" s="575" t="e">
        <v>#DIV/0!</v>
      </c>
      <c r="AE59" s="574" t="e">
        <v>#DIV/0!</v>
      </c>
      <c r="AF59" s="575" t="e">
        <v>#DIV/0!</v>
      </c>
      <c r="AG59" s="574" t="e">
        <v>#DIV/0!</v>
      </c>
      <c r="AH59" s="573" t="e">
        <v>#DIV/0!</v>
      </c>
      <c r="AI59" s="573" t="e">
        <v>#DIV/0!</v>
      </c>
      <c r="AJ59" s="573" t="e">
        <v>#DIV/0!</v>
      </c>
      <c r="AK59" s="575" t="e">
        <v>#DIV/0!</v>
      </c>
      <c r="AL59" s="576" t="e">
        <v>#DIV/0!</v>
      </c>
      <c r="AM59" s="503"/>
      <c r="AN59" s="758"/>
      <c r="AO59" s="758"/>
      <c r="AP59" s="503"/>
      <c r="AQ59" s="503"/>
      <c r="AR59" s="503"/>
      <c r="AS59" s="503"/>
    </row>
    <row r="60" spans="2:45" ht="21.95" customHeight="1">
      <c r="B60" s="623" t="s">
        <v>629</v>
      </c>
      <c r="C60" s="624" t="s">
        <v>160</v>
      </c>
      <c r="D60" s="625" t="s">
        <v>629</v>
      </c>
      <c r="E60" s="565">
        <v>8</v>
      </c>
      <c r="F60" s="565" t="s">
        <v>160</v>
      </c>
      <c r="G60" s="566" t="s">
        <v>726</v>
      </c>
      <c r="H60" s="606"/>
      <c r="I60" s="625" t="str">
        <f>IF(B60="",D60,HYPERLINK("#'"&amp;B60&amp;"'!a1",D60))</f>
        <v>Research Lab Renovations - H</v>
      </c>
      <c r="J60" s="569" t="s">
        <v>160</v>
      </c>
      <c r="K60" s="569" t="s">
        <v>735</v>
      </c>
      <c r="L60" s="570" t="s">
        <v>798</v>
      </c>
      <c r="M60" s="571">
        <v>10750</v>
      </c>
      <c r="N60" s="572">
        <v>678.84163809232246</v>
      </c>
      <c r="O60" s="573"/>
      <c r="P60" s="574">
        <v>0</v>
      </c>
      <c r="Q60" s="575">
        <v>0</v>
      </c>
      <c r="R60" s="574">
        <v>0</v>
      </c>
      <c r="S60" s="573">
        <v>0</v>
      </c>
      <c r="T60" s="575">
        <v>11.4156</v>
      </c>
      <c r="U60" s="574">
        <v>64.602656603773596</v>
      </c>
      <c r="V60" s="573">
        <v>0</v>
      </c>
      <c r="W60" s="575">
        <v>103.04581132075472</v>
      </c>
      <c r="X60" s="574">
        <v>0</v>
      </c>
      <c r="Y60" s="573">
        <v>203.19520754716979</v>
      </c>
      <c r="Z60" s="573">
        <v>372.1165132075472</v>
      </c>
      <c r="AA60" s="573">
        <v>7.2312905660377362</v>
      </c>
      <c r="AB60" s="575">
        <v>201.85944905660378</v>
      </c>
      <c r="AC60" s="574">
        <v>0</v>
      </c>
      <c r="AD60" s="575">
        <v>0</v>
      </c>
      <c r="AE60" s="574">
        <v>0</v>
      </c>
      <c r="AF60" s="575">
        <v>23.804649056603775</v>
      </c>
      <c r="AG60" s="574">
        <v>0</v>
      </c>
      <c r="AH60" s="573">
        <v>0</v>
      </c>
      <c r="AI60" s="573">
        <v>42.841901886792456</v>
      </c>
      <c r="AJ60" s="573">
        <v>0</v>
      </c>
      <c r="AK60" s="575">
        <v>0</v>
      </c>
      <c r="AL60" s="576">
        <v>138.09631698113208</v>
      </c>
      <c r="AM60" s="503"/>
      <c r="AN60" s="758"/>
      <c r="AO60" s="758"/>
      <c r="AP60" s="503"/>
      <c r="AQ60" s="503"/>
      <c r="AR60" s="503"/>
      <c r="AS60" s="503"/>
    </row>
    <row r="61" spans="2:45" ht="21.95" customHeight="1">
      <c r="B61" s="603"/>
      <c r="C61" s="599" t="s">
        <v>160</v>
      </c>
      <c r="D61" s="603" t="s">
        <v>799</v>
      </c>
      <c r="E61" s="565" t="s">
        <v>726</v>
      </c>
      <c r="F61" s="565" t="s">
        <v>726</v>
      </c>
      <c r="G61" s="604"/>
      <c r="H61" s="600" t="s">
        <v>799</v>
      </c>
      <c r="I61" s="603"/>
      <c r="J61" s="555"/>
      <c r="K61" s="583"/>
      <c r="L61" s="583"/>
      <c r="M61" s="555"/>
      <c r="N61" s="601"/>
      <c r="O61" s="642"/>
      <c r="P61" s="585"/>
      <c r="Q61" s="586"/>
      <c r="R61" s="587"/>
      <c r="S61" s="588"/>
      <c r="T61" s="589"/>
      <c r="U61" s="590"/>
      <c r="V61" s="588"/>
      <c r="W61" s="589"/>
      <c r="X61" s="590"/>
      <c r="Y61" s="588"/>
      <c r="Z61" s="588"/>
      <c r="AA61" s="588"/>
      <c r="AB61" s="589"/>
      <c r="AC61" s="590"/>
      <c r="AD61" s="589"/>
      <c r="AE61" s="590"/>
      <c r="AF61" s="589"/>
      <c r="AG61" s="590"/>
      <c r="AH61" s="588"/>
      <c r="AI61" s="588"/>
      <c r="AJ61" s="588"/>
      <c r="AK61" s="589"/>
      <c r="AL61" s="591"/>
      <c r="AM61" s="503"/>
      <c r="AN61" s="758"/>
      <c r="AO61" s="758"/>
      <c r="AP61" s="503"/>
      <c r="AQ61" s="503"/>
      <c r="AR61" s="503"/>
      <c r="AS61" s="503"/>
    </row>
    <row r="62" spans="2:45" ht="21.95" customHeight="1">
      <c r="B62" s="592" t="s">
        <v>800</v>
      </c>
      <c r="C62" s="593" t="s">
        <v>160</v>
      </c>
      <c r="D62" s="568" t="s">
        <v>596</v>
      </c>
      <c r="E62" s="565">
        <v>9</v>
      </c>
      <c r="F62" s="565" t="s">
        <v>160</v>
      </c>
      <c r="G62" s="566" t="s">
        <v>726</v>
      </c>
      <c r="H62" s="606"/>
      <c r="I62" s="568" t="str">
        <f>IF(B62="",D62,HYPERLINK("#'"&amp;B62&amp;"'!a1",D62))</f>
        <v>New Library</v>
      </c>
      <c r="J62" s="569" t="s">
        <v>160</v>
      </c>
      <c r="K62" s="569" t="s">
        <v>735</v>
      </c>
      <c r="L62" s="570" t="s">
        <v>801</v>
      </c>
      <c r="M62" s="571">
        <v>120000</v>
      </c>
      <c r="N62" s="572">
        <v>394.54708357594939</v>
      </c>
      <c r="O62" s="573"/>
      <c r="P62" s="574">
        <v>9.7005036160536573</v>
      </c>
      <c r="Q62" s="575">
        <v>0</v>
      </c>
      <c r="R62" s="574">
        <v>57.276427503641486</v>
      </c>
      <c r="S62" s="573">
        <v>52.072012841122955</v>
      </c>
      <c r="T62" s="575">
        <v>10.127303434685626</v>
      </c>
      <c r="U62" s="574">
        <v>8.3859663267887736</v>
      </c>
      <c r="V62" s="573">
        <v>3.4221342084403554</v>
      </c>
      <c r="W62" s="575">
        <v>40.085740719069946</v>
      </c>
      <c r="X62" s="574">
        <v>5.2342892412026085</v>
      </c>
      <c r="Y62" s="573">
        <v>1.3875220877031444</v>
      </c>
      <c r="Z62" s="573">
        <v>81.563046119726607</v>
      </c>
      <c r="AA62" s="573">
        <v>5.1486636395567125</v>
      </c>
      <c r="AB62" s="575">
        <v>45.326540981965891</v>
      </c>
      <c r="AC62" s="574">
        <v>2.6522937739297148</v>
      </c>
      <c r="AD62" s="575">
        <v>3.1206925976188367</v>
      </c>
      <c r="AE62" s="574">
        <v>0</v>
      </c>
      <c r="AF62" s="575">
        <v>0</v>
      </c>
      <c r="AG62" s="574">
        <v>1.0475652469165408</v>
      </c>
      <c r="AH62" s="573">
        <v>23.85401397039238</v>
      </c>
      <c r="AI62" s="573">
        <v>12.268383308193759</v>
      </c>
      <c r="AJ62" s="573">
        <v>4.5114659972539561</v>
      </c>
      <c r="AK62" s="575">
        <v>3.0807247178260853</v>
      </c>
      <c r="AL62" s="576">
        <v>53.052499787609719</v>
      </c>
      <c r="AM62" s="503"/>
      <c r="AN62" s="758"/>
      <c r="AO62" s="758"/>
      <c r="AP62" s="503"/>
      <c r="AQ62" s="503"/>
      <c r="AR62" s="503"/>
      <c r="AS62" s="503"/>
    </row>
    <row r="63" spans="2:45" ht="21.95" customHeight="1">
      <c r="B63" s="592" t="s">
        <v>616</v>
      </c>
      <c r="C63" s="593" t="s">
        <v>160</v>
      </c>
      <c r="D63" s="568" t="s">
        <v>616</v>
      </c>
      <c r="E63" s="565">
        <v>4</v>
      </c>
      <c r="F63" s="565" t="s">
        <v>160</v>
      </c>
      <c r="G63" s="566" t="s">
        <v>726</v>
      </c>
      <c r="H63" s="606"/>
      <c r="I63" s="568" t="str">
        <f>IF(B63="",D63,HYPERLINK("#'"&amp;B63&amp;"'!a1",D63))</f>
        <v>Ren Libraries - M</v>
      </c>
      <c r="J63" s="569" t="s">
        <v>160</v>
      </c>
      <c r="K63" s="569" t="s">
        <v>735</v>
      </c>
      <c r="L63" s="570" t="s">
        <v>802</v>
      </c>
      <c r="M63" s="571">
        <v>13595.5</v>
      </c>
      <c r="N63" s="572">
        <v>194.66305531242705</v>
      </c>
      <c r="O63" s="573"/>
      <c r="P63" s="574">
        <v>0</v>
      </c>
      <c r="Q63" s="575">
        <v>0</v>
      </c>
      <c r="R63" s="574">
        <v>0.63423609306731543</v>
      </c>
      <c r="S63" s="573">
        <v>0</v>
      </c>
      <c r="T63" s="575">
        <v>38.539699951197861</v>
      </c>
      <c r="U63" s="574">
        <v>2.7602284573057965</v>
      </c>
      <c r="V63" s="573">
        <v>3.9956873863240867</v>
      </c>
      <c r="W63" s="575">
        <v>7.6768583625682787</v>
      </c>
      <c r="X63" s="574">
        <v>0</v>
      </c>
      <c r="Y63" s="573">
        <v>8.0801678256775968</v>
      </c>
      <c r="Z63" s="573">
        <v>45.745983039098284</v>
      </c>
      <c r="AA63" s="573">
        <v>3.4340358086917675</v>
      </c>
      <c r="AB63" s="575">
        <v>23.899781700059545</v>
      </c>
      <c r="AC63" s="574">
        <v>0</v>
      </c>
      <c r="AD63" s="575">
        <v>0</v>
      </c>
      <c r="AE63" s="574">
        <v>0.8454367120587315</v>
      </c>
      <c r="AF63" s="575">
        <v>4.1004796790372273</v>
      </c>
      <c r="AG63" s="574">
        <v>0</v>
      </c>
      <c r="AH63" s="573">
        <v>0</v>
      </c>
      <c r="AI63" s="573">
        <v>0</v>
      </c>
      <c r="AJ63" s="573">
        <v>0</v>
      </c>
      <c r="AK63" s="575">
        <v>12.506157763231949</v>
      </c>
      <c r="AL63" s="576">
        <v>22.592504412806679</v>
      </c>
      <c r="AM63" s="503"/>
      <c r="AN63" s="758"/>
      <c r="AO63" s="758"/>
      <c r="AP63" s="503"/>
      <c r="AQ63" s="503"/>
      <c r="AR63" s="503"/>
      <c r="AS63" s="503"/>
    </row>
    <row r="64" spans="2:45" ht="21.95" customHeight="1" thickBot="1">
      <c r="B64" s="592" t="s">
        <v>803</v>
      </c>
      <c r="C64" s="593" t="s">
        <v>160</v>
      </c>
      <c r="D64" s="568" t="s">
        <v>630</v>
      </c>
      <c r="E64" s="565">
        <v>5</v>
      </c>
      <c r="F64" s="565" t="s">
        <v>160</v>
      </c>
      <c r="G64" s="566" t="s">
        <v>726</v>
      </c>
      <c r="H64" s="606"/>
      <c r="I64" s="568" t="str">
        <f>IF(B64="",D64,HYPERLINK("#'"&amp;B64&amp;"'!a1",D64))</f>
        <v>Ren.-Add Library</v>
      </c>
      <c r="J64" s="569" t="s">
        <v>160</v>
      </c>
      <c r="K64" s="569" t="s">
        <v>735</v>
      </c>
      <c r="L64" s="570" t="s">
        <v>804</v>
      </c>
      <c r="M64" s="571">
        <v>100000</v>
      </c>
      <c r="N64" s="572">
        <v>364.53570247933885</v>
      </c>
      <c r="O64" s="573"/>
      <c r="P64" s="574">
        <v>12.971386184913541</v>
      </c>
      <c r="Q64" s="575">
        <v>0</v>
      </c>
      <c r="R64" s="574">
        <v>50.30747410791669</v>
      </c>
      <c r="S64" s="573">
        <v>63.796140517115916</v>
      </c>
      <c r="T64" s="575">
        <v>12.100782399211051</v>
      </c>
      <c r="U64" s="574">
        <v>25.746017506479994</v>
      </c>
      <c r="V64" s="573">
        <v>2.4447565235257858</v>
      </c>
      <c r="W64" s="575">
        <v>40.631388832754972</v>
      </c>
      <c r="X64" s="574">
        <v>4.6010077564044867</v>
      </c>
      <c r="Y64" s="573">
        <v>8.2986469822459714</v>
      </c>
      <c r="Z64" s="573">
        <v>63.252186546431204</v>
      </c>
      <c r="AA64" s="573">
        <v>5.5238937830416956</v>
      </c>
      <c r="AB64" s="575">
        <v>56.6738432486531</v>
      </c>
      <c r="AC64" s="574">
        <v>0.15299857354248933</v>
      </c>
      <c r="AD64" s="575">
        <v>1.9767895367764015</v>
      </c>
      <c r="AE64" s="574">
        <v>6.0494327727535637</v>
      </c>
      <c r="AF64" s="575">
        <v>8.0015652663715162</v>
      </c>
      <c r="AG64" s="574">
        <v>8.367875566340599</v>
      </c>
      <c r="AH64" s="573">
        <v>4.0007836654677922</v>
      </c>
      <c r="AI64" s="573">
        <v>2.2051003674753491</v>
      </c>
      <c r="AJ64" s="573">
        <v>-0.25800895174513627</v>
      </c>
      <c r="AK64" s="575">
        <v>1.3174053492214266</v>
      </c>
      <c r="AL64" s="576">
        <v>61.168387875122676</v>
      </c>
      <c r="AM64" s="503"/>
      <c r="AN64" s="758"/>
      <c r="AO64" s="758"/>
      <c r="AP64" s="503"/>
      <c r="AQ64" s="503"/>
      <c r="AR64" s="503"/>
      <c r="AS64" s="503"/>
    </row>
    <row r="65" spans="2:45" ht="21.95" customHeight="1" thickTop="1">
      <c r="B65" s="603"/>
      <c r="C65" s="599" t="s">
        <v>160</v>
      </c>
      <c r="D65" s="603" t="s">
        <v>577</v>
      </c>
      <c r="E65" s="565" t="s">
        <v>726</v>
      </c>
      <c r="F65" s="565" t="s">
        <v>726</v>
      </c>
      <c r="G65" s="604"/>
      <c r="H65" s="580" t="s">
        <v>577</v>
      </c>
      <c r="I65" s="605"/>
      <c r="J65" s="581"/>
      <c r="K65" s="582"/>
      <c r="L65" s="583"/>
      <c r="M65" s="581"/>
      <c r="N65" s="584"/>
      <c r="O65" s="642"/>
      <c r="P65" s="585"/>
      <c r="Q65" s="586"/>
      <c r="R65" s="587"/>
      <c r="S65" s="588"/>
      <c r="T65" s="589"/>
      <c r="U65" s="590"/>
      <c r="V65" s="588"/>
      <c r="W65" s="589"/>
      <c r="X65" s="590"/>
      <c r="Y65" s="588"/>
      <c r="Z65" s="588"/>
      <c r="AA65" s="588"/>
      <c r="AB65" s="589"/>
      <c r="AC65" s="590"/>
      <c r="AD65" s="589"/>
      <c r="AE65" s="590"/>
      <c r="AF65" s="589"/>
      <c r="AG65" s="590"/>
      <c r="AH65" s="588"/>
      <c r="AI65" s="588"/>
      <c r="AJ65" s="588"/>
      <c r="AK65" s="589"/>
      <c r="AL65" s="591"/>
      <c r="AM65" s="503"/>
      <c r="AN65" s="758"/>
      <c r="AO65" s="758"/>
      <c r="AP65" s="503"/>
      <c r="AQ65" s="503"/>
      <c r="AR65" s="503"/>
      <c r="AS65" s="503"/>
    </row>
    <row r="66" spans="2:45" ht="21.95" customHeight="1">
      <c r="B66" s="592" t="s">
        <v>597</v>
      </c>
      <c r="C66" s="593" t="s">
        <v>160</v>
      </c>
      <c r="D66" s="568" t="s">
        <v>597</v>
      </c>
      <c r="E66" s="565">
        <v>4</v>
      </c>
      <c r="F66" s="565" t="s">
        <v>160</v>
      </c>
      <c r="G66" s="566" t="s">
        <v>726</v>
      </c>
      <c r="H66" s="606"/>
      <c r="I66" s="568" t="str">
        <f>IF(B66="",D66,HYPERLINK("#'"&amp;B66&amp;"'!a1",D66))</f>
        <v>New Mental Health Facility</v>
      </c>
      <c r="J66" s="569" t="s">
        <v>160</v>
      </c>
      <c r="K66" s="569" t="s">
        <v>735</v>
      </c>
      <c r="L66" s="570" t="s">
        <v>805</v>
      </c>
      <c r="M66" s="571">
        <v>327253.5</v>
      </c>
      <c r="N66" s="572">
        <v>665.61429733766772</v>
      </c>
      <c r="O66" s="573"/>
      <c r="P66" s="574" t="e">
        <v>#DIV/0!</v>
      </c>
      <c r="Q66" s="575" t="e">
        <v>#DIV/0!</v>
      </c>
      <c r="R66" s="574" t="e">
        <v>#DIV/0!</v>
      </c>
      <c r="S66" s="573" t="e">
        <v>#DIV/0!</v>
      </c>
      <c r="T66" s="575" t="e">
        <v>#DIV/0!</v>
      </c>
      <c r="U66" s="574" t="e">
        <v>#DIV/0!</v>
      </c>
      <c r="V66" s="573" t="e">
        <v>#DIV/0!</v>
      </c>
      <c r="W66" s="575" t="e">
        <v>#DIV/0!</v>
      </c>
      <c r="X66" s="574" t="e">
        <v>#DIV/0!</v>
      </c>
      <c r="Y66" s="573" t="e">
        <v>#DIV/0!</v>
      </c>
      <c r="Z66" s="573" t="e">
        <v>#DIV/0!</v>
      </c>
      <c r="AA66" s="573" t="e">
        <v>#DIV/0!</v>
      </c>
      <c r="AB66" s="575" t="e">
        <v>#DIV/0!</v>
      </c>
      <c r="AC66" s="574" t="e">
        <v>#DIV/0!</v>
      </c>
      <c r="AD66" s="575" t="e">
        <v>#DIV/0!</v>
      </c>
      <c r="AE66" s="574" t="e">
        <v>#DIV/0!</v>
      </c>
      <c r="AF66" s="575" t="e">
        <v>#DIV/0!</v>
      </c>
      <c r="AG66" s="574" t="e">
        <v>#DIV/0!</v>
      </c>
      <c r="AH66" s="573" t="e">
        <v>#DIV/0!</v>
      </c>
      <c r="AI66" s="573" t="e">
        <v>#DIV/0!</v>
      </c>
      <c r="AJ66" s="573" t="e">
        <v>#DIV/0!</v>
      </c>
      <c r="AK66" s="575" t="e">
        <v>#DIV/0!</v>
      </c>
      <c r="AL66" s="576" t="e">
        <v>#DIV/0!</v>
      </c>
      <c r="AM66" s="503"/>
      <c r="AN66" s="758"/>
      <c r="AO66" s="758"/>
      <c r="AP66" s="503"/>
      <c r="AQ66" s="503"/>
      <c r="AR66" s="503"/>
      <c r="AS66" s="503"/>
    </row>
    <row r="67" spans="2:45" ht="21.95" customHeight="1">
      <c r="B67" s="592" t="s">
        <v>617</v>
      </c>
      <c r="C67" s="593" t="s">
        <v>160</v>
      </c>
      <c r="D67" s="568" t="s">
        <v>617</v>
      </c>
      <c r="E67" s="565">
        <v>3</v>
      </c>
      <c r="F67" s="565" t="s">
        <v>160</v>
      </c>
      <c r="G67" s="566" t="s">
        <v>731</v>
      </c>
      <c r="H67" s="606"/>
      <c r="I67" s="568" t="str">
        <f>IF(B67="",D67,HYPERLINK("#'"&amp;B67&amp;"'!a1",D67))</f>
        <v>New Mental Health Clinic</v>
      </c>
      <c r="J67" s="569" t="s">
        <v>160</v>
      </c>
      <c r="K67" s="569" t="s">
        <v>735</v>
      </c>
      <c r="L67" s="570" t="s">
        <v>806</v>
      </c>
      <c r="M67" s="571">
        <v>16078</v>
      </c>
      <c r="N67" s="572">
        <v>368.99508610271107</v>
      </c>
      <c r="O67" s="573"/>
      <c r="P67" s="574"/>
      <c r="Q67" s="575"/>
      <c r="R67" s="574"/>
      <c r="S67" s="573"/>
      <c r="T67" s="575"/>
      <c r="U67" s="574"/>
      <c r="V67" s="573"/>
      <c r="W67" s="575"/>
      <c r="X67" s="574"/>
      <c r="Y67" s="573"/>
      <c r="Z67" s="573"/>
      <c r="AA67" s="573"/>
      <c r="AB67" s="575"/>
      <c r="AC67" s="574"/>
      <c r="AD67" s="575"/>
      <c r="AE67" s="574"/>
      <c r="AF67" s="575"/>
      <c r="AG67" s="574"/>
      <c r="AH67" s="573"/>
      <c r="AI67" s="573"/>
      <c r="AJ67" s="573"/>
      <c r="AK67" s="575"/>
      <c r="AL67" s="576"/>
      <c r="AM67" s="503"/>
      <c r="AN67" s="758"/>
      <c r="AO67" s="758"/>
      <c r="AP67" s="503"/>
      <c r="AQ67" s="503"/>
      <c r="AR67" s="503"/>
      <c r="AS67" s="503"/>
    </row>
    <row r="68" spans="2:45" ht="21.95" customHeight="1">
      <c r="B68" s="592" t="s">
        <v>807</v>
      </c>
      <c r="C68" s="593" t="s">
        <v>160</v>
      </c>
      <c r="D68" s="568" t="s">
        <v>631</v>
      </c>
      <c r="E68" s="565">
        <v>6</v>
      </c>
      <c r="F68" s="565" t="s">
        <v>160</v>
      </c>
      <c r="G68" s="566" t="s">
        <v>731</v>
      </c>
      <c r="H68" s="606"/>
      <c r="I68" s="568" t="str">
        <f>IF(B68="",D68,HYPERLINK("#'"&amp;B68&amp;"'!a1",D68))</f>
        <v>New Clinic</v>
      </c>
      <c r="J68" s="569" t="s">
        <v>160</v>
      </c>
      <c r="K68" s="569" t="s">
        <v>735</v>
      </c>
      <c r="L68" s="570" t="s">
        <v>808</v>
      </c>
      <c r="M68" s="571">
        <v>77136</v>
      </c>
      <c r="N68" s="572">
        <v>394.1546439042416</v>
      </c>
      <c r="O68" s="573"/>
      <c r="P68" s="574">
        <v>0</v>
      </c>
      <c r="Q68" s="575">
        <v>0</v>
      </c>
      <c r="R68" s="574">
        <v>0</v>
      </c>
      <c r="S68" s="573">
        <v>0</v>
      </c>
      <c r="T68" s="575">
        <v>0</v>
      </c>
      <c r="U68" s="574">
        <v>0</v>
      </c>
      <c r="V68" s="573">
        <v>0</v>
      </c>
      <c r="W68" s="575">
        <v>0</v>
      </c>
      <c r="X68" s="574">
        <v>0</v>
      </c>
      <c r="Y68" s="573">
        <v>0</v>
      </c>
      <c r="Z68" s="573">
        <v>0</v>
      </c>
      <c r="AA68" s="573">
        <v>0</v>
      </c>
      <c r="AB68" s="575">
        <v>0</v>
      </c>
      <c r="AC68" s="574">
        <v>0</v>
      </c>
      <c r="AD68" s="575">
        <v>0</v>
      </c>
      <c r="AE68" s="574">
        <v>0</v>
      </c>
      <c r="AF68" s="575">
        <v>0</v>
      </c>
      <c r="AG68" s="574">
        <v>0</v>
      </c>
      <c r="AH68" s="573">
        <v>0</v>
      </c>
      <c r="AI68" s="573">
        <v>0</v>
      </c>
      <c r="AJ68" s="573">
        <v>0</v>
      </c>
      <c r="AK68" s="575">
        <v>0</v>
      </c>
      <c r="AL68" s="576">
        <v>0</v>
      </c>
      <c r="AM68" s="503"/>
      <c r="AN68" s="758"/>
      <c r="AO68" s="758"/>
      <c r="AP68" s="503"/>
      <c r="AQ68" s="503"/>
      <c r="AR68" s="503"/>
      <c r="AS68" s="503"/>
    </row>
    <row r="69" spans="2:45" ht="21.95" customHeight="1" thickBot="1">
      <c r="B69" s="592" t="s">
        <v>638</v>
      </c>
      <c r="C69" s="593" t="s">
        <v>160</v>
      </c>
      <c r="D69" s="568" t="s">
        <v>638</v>
      </c>
      <c r="E69" s="565">
        <v>8</v>
      </c>
      <c r="F69" s="565" t="s">
        <v>160</v>
      </c>
      <c r="G69" s="566" t="s">
        <v>726</v>
      </c>
      <c r="H69" s="607"/>
      <c r="I69" s="596" t="str">
        <f>IF(B69="",D69,HYPERLINK("#'"&amp;B69&amp;"'!a1",D69))</f>
        <v>Ren Medical</v>
      </c>
      <c r="J69" s="597" t="s">
        <v>160</v>
      </c>
      <c r="K69" s="597" t="s">
        <v>735</v>
      </c>
      <c r="L69" s="620" t="s">
        <v>809</v>
      </c>
      <c r="M69" s="616">
        <v>14023.5</v>
      </c>
      <c r="N69" s="598">
        <v>380.2584905570211</v>
      </c>
      <c r="O69" s="573"/>
      <c r="P69" s="574" t="e">
        <v>#DIV/0!</v>
      </c>
      <c r="Q69" s="575" t="e">
        <v>#DIV/0!</v>
      </c>
      <c r="R69" s="574" t="e">
        <v>#DIV/0!</v>
      </c>
      <c r="S69" s="573" t="e">
        <v>#DIV/0!</v>
      </c>
      <c r="T69" s="575" t="e">
        <v>#DIV/0!</v>
      </c>
      <c r="U69" s="574" t="e">
        <v>#DIV/0!</v>
      </c>
      <c r="V69" s="573" t="e">
        <v>#DIV/0!</v>
      </c>
      <c r="W69" s="575" t="e">
        <v>#DIV/0!</v>
      </c>
      <c r="X69" s="574" t="e">
        <v>#DIV/0!</v>
      </c>
      <c r="Y69" s="573" t="e">
        <v>#DIV/0!</v>
      </c>
      <c r="Z69" s="573" t="e">
        <v>#DIV/0!</v>
      </c>
      <c r="AA69" s="573" t="e">
        <v>#DIV/0!</v>
      </c>
      <c r="AB69" s="575" t="e">
        <v>#DIV/0!</v>
      </c>
      <c r="AC69" s="574" t="e">
        <v>#DIV/0!</v>
      </c>
      <c r="AD69" s="575" t="e">
        <v>#DIV/0!</v>
      </c>
      <c r="AE69" s="574" t="e">
        <v>#DIV/0!</v>
      </c>
      <c r="AF69" s="575" t="e">
        <v>#DIV/0!</v>
      </c>
      <c r="AG69" s="574" t="e">
        <v>#DIV/0!</v>
      </c>
      <c r="AH69" s="573" t="e">
        <v>#DIV/0!</v>
      </c>
      <c r="AI69" s="573" t="e">
        <v>#DIV/0!</v>
      </c>
      <c r="AJ69" s="573" t="e">
        <v>#DIV/0!</v>
      </c>
      <c r="AK69" s="575" t="e">
        <v>#DIV/0!</v>
      </c>
      <c r="AL69" s="576" t="e">
        <v>#DIV/0!</v>
      </c>
      <c r="AM69" s="503"/>
      <c r="AN69" s="758"/>
      <c r="AO69" s="758"/>
      <c r="AP69" s="503"/>
      <c r="AQ69" s="503"/>
      <c r="AR69" s="503"/>
      <c r="AS69" s="503"/>
    </row>
    <row r="70" spans="2:45" ht="21.95" hidden="1" customHeight="1" thickTop="1" thickBot="1">
      <c r="B70" s="592" t="s">
        <v>618</v>
      </c>
      <c r="C70" s="593" t="s">
        <v>284</v>
      </c>
      <c r="D70" s="568" t="s">
        <v>618</v>
      </c>
      <c r="E70" s="565">
        <v>17</v>
      </c>
      <c r="F70" s="565" t="s">
        <v>160</v>
      </c>
      <c r="G70" s="566" t="s">
        <v>726</v>
      </c>
      <c r="H70" s="606"/>
      <c r="I70" s="568" t="str">
        <f>IF(B70="",D70,HYPERLINK("#'"&amp;B70&amp;"'!a1",D70))</f>
        <v>New Community Hospital</v>
      </c>
      <c r="J70" s="569" t="s">
        <v>160</v>
      </c>
      <c r="K70" s="569" t="s">
        <v>735</v>
      </c>
      <c r="L70" s="570" t="s">
        <v>810</v>
      </c>
      <c r="M70" s="571">
        <v>85140</v>
      </c>
      <c r="N70" s="572">
        <v>231.91575887807477</v>
      </c>
      <c r="O70" s="573"/>
      <c r="P70" s="574" t="e">
        <v>#DIV/0!</v>
      </c>
      <c r="Q70" s="575" t="e">
        <v>#DIV/0!</v>
      </c>
      <c r="R70" s="574" t="e">
        <v>#DIV/0!</v>
      </c>
      <c r="S70" s="573" t="e">
        <v>#DIV/0!</v>
      </c>
      <c r="T70" s="575" t="e">
        <v>#DIV/0!</v>
      </c>
      <c r="U70" s="574" t="e">
        <v>#DIV/0!</v>
      </c>
      <c r="V70" s="573" t="e">
        <v>#DIV/0!</v>
      </c>
      <c r="W70" s="575" t="e">
        <v>#DIV/0!</v>
      </c>
      <c r="X70" s="574" t="e">
        <v>#DIV/0!</v>
      </c>
      <c r="Y70" s="573" t="e">
        <v>#DIV/0!</v>
      </c>
      <c r="Z70" s="573" t="e">
        <v>#DIV/0!</v>
      </c>
      <c r="AA70" s="573" t="e">
        <v>#DIV/0!</v>
      </c>
      <c r="AB70" s="575" t="e">
        <v>#DIV/0!</v>
      </c>
      <c r="AC70" s="574" t="e">
        <v>#DIV/0!</v>
      </c>
      <c r="AD70" s="575" t="e">
        <v>#DIV/0!</v>
      </c>
      <c r="AE70" s="574" t="e">
        <v>#DIV/0!</v>
      </c>
      <c r="AF70" s="575" t="e">
        <v>#DIV/0!</v>
      </c>
      <c r="AG70" s="574" t="e">
        <v>#DIV/0!</v>
      </c>
      <c r="AH70" s="573" t="e">
        <v>#DIV/0!</v>
      </c>
      <c r="AI70" s="573" t="e">
        <v>#DIV/0!</v>
      </c>
      <c r="AJ70" s="573" t="e">
        <v>#DIV/0!</v>
      </c>
      <c r="AK70" s="575" t="e">
        <v>#DIV/0!</v>
      </c>
      <c r="AL70" s="576" t="e">
        <v>#DIV/0!</v>
      </c>
      <c r="AM70" s="503"/>
      <c r="AN70" s="758"/>
      <c r="AO70" s="758"/>
      <c r="AP70" s="503"/>
      <c r="AQ70" s="503"/>
      <c r="AR70" s="503"/>
      <c r="AS70" s="503"/>
    </row>
    <row r="71" spans="2:45" ht="21.95" customHeight="1" thickTop="1">
      <c r="B71" s="555"/>
      <c r="C71" s="556" t="s">
        <v>160</v>
      </c>
      <c r="D71" s="555" t="s">
        <v>811</v>
      </c>
      <c r="E71" s="565" t="s">
        <v>726</v>
      </c>
      <c r="F71" s="565" t="s">
        <v>726</v>
      </c>
      <c r="G71" s="579"/>
      <c r="H71" s="580" t="s">
        <v>811</v>
      </c>
      <c r="I71" s="581"/>
      <c r="J71" s="581"/>
      <c r="K71" s="582"/>
      <c r="L71" s="582"/>
      <c r="M71" s="581"/>
      <c r="N71" s="584"/>
      <c r="O71" s="642"/>
      <c r="P71" s="585"/>
      <c r="Q71" s="586"/>
      <c r="R71" s="587"/>
      <c r="S71" s="588"/>
      <c r="T71" s="589"/>
      <c r="U71" s="590"/>
      <c r="V71" s="588"/>
      <c r="W71" s="589"/>
      <c r="X71" s="590"/>
      <c r="Y71" s="588"/>
      <c r="Z71" s="588"/>
      <c r="AA71" s="588"/>
      <c r="AB71" s="589"/>
      <c r="AC71" s="590"/>
      <c r="AD71" s="589"/>
      <c r="AE71" s="590"/>
      <c r="AF71" s="589"/>
      <c r="AG71" s="590"/>
      <c r="AH71" s="588"/>
      <c r="AI71" s="588"/>
      <c r="AJ71" s="588"/>
      <c r="AK71" s="589"/>
      <c r="AL71" s="591"/>
      <c r="AM71" s="503"/>
      <c r="AN71" s="758"/>
      <c r="AO71" s="758"/>
      <c r="AP71" s="503"/>
      <c r="AQ71" s="503"/>
      <c r="AR71" s="503"/>
      <c r="AS71" s="503"/>
    </row>
    <row r="72" spans="2:45" ht="21.95" customHeight="1">
      <c r="B72" s="564" t="s">
        <v>812</v>
      </c>
      <c r="C72" s="565" t="s">
        <v>160</v>
      </c>
      <c r="D72" s="540" t="s">
        <v>598</v>
      </c>
      <c r="E72" s="565">
        <v>7</v>
      </c>
      <c r="F72" s="565" t="s">
        <v>160</v>
      </c>
      <c r="G72" s="566" t="s">
        <v>726</v>
      </c>
      <c r="H72" s="606"/>
      <c r="I72" s="540" t="str">
        <f>IF(B72="",D72,HYPERLINK("#'"&amp;B72&amp;"'!a1",D72))</f>
        <v>New Multipurpose Center</v>
      </c>
      <c r="J72" s="569" t="s">
        <v>160</v>
      </c>
      <c r="K72" s="569" t="s">
        <v>735</v>
      </c>
      <c r="L72" s="570" t="s">
        <v>813</v>
      </c>
      <c r="M72" s="571">
        <v>52944</v>
      </c>
      <c r="N72" s="572">
        <v>554.60474999021301</v>
      </c>
      <c r="O72" s="573"/>
      <c r="P72" s="574">
        <v>19.273438822526387</v>
      </c>
      <c r="Q72" s="575">
        <v>0</v>
      </c>
      <c r="R72" s="574">
        <v>77.840618161336295</v>
      </c>
      <c r="S72" s="573">
        <v>46.209071126719387</v>
      </c>
      <c r="T72" s="575">
        <v>11.021751375042706</v>
      </c>
      <c r="U72" s="574">
        <v>61.150123576865425</v>
      </c>
      <c r="V72" s="573">
        <v>1.4773822018534992</v>
      </c>
      <c r="W72" s="575">
        <v>14.549426129350969</v>
      </c>
      <c r="X72" s="574">
        <v>2.7142281139677258</v>
      </c>
      <c r="Y72" s="573">
        <v>18.971877414211804</v>
      </c>
      <c r="Z72" s="573">
        <v>61.443070000215457</v>
      </c>
      <c r="AA72" s="573">
        <v>3.9815819685502265</v>
      </c>
      <c r="AB72" s="575">
        <v>72.292290834997956</v>
      </c>
      <c r="AC72" s="574">
        <v>14.666850313482035</v>
      </c>
      <c r="AD72" s="575">
        <v>6.3983391761747503</v>
      </c>
      <c r="AE72" s="574">
        <v>0.61970643184497343</v>
      </c>
      <c r="AF72" s="575">
        <v>0</v>
      </c>
      <c r="AG72" s="574">
        <v>25.41174949753616</v>
      </c>
      <c r="AH72" s="573">
        <v>20.465612390312067</v>
      </c>
      <c r="AI72" s="573">
        <v>16.055792723277079</v>
      </c>
      <c r="AJ72" s="573">
        <v>17.926491001819031</v>
      </c>
      <c r="AK72" s="575">
        <v>0</v>
      </c>
      <c r="AL72" s="576">
        <v>36.122705825502699</v>
      </c>
      <c r="AM72" s="503"/>
      <c r="AN72" s="758"/>
      <c r="AO72" s="758"/>
      <c r="AP72" s="503"/>
      <c r="AQ72" s="503"/>
      <c r="AR72" s="503"/>
      <c r="AS72" s="503"/>
    </row>
    <row r="73" spans="2:45" ht="21.95" customHeight="1" thickBot="1">
      <c r="B73" s="564" t="s">
        <v>814</v>
      </c>
      <c r="C73" s="565" t="s">
        <v>160</v>
      </c>
      <c r="D73" s="564" t="s">
        <v>618</v>
      </c>
      <c r="E73" s="565">
        <v>16</v>
      </c>
      <c r="F73" s="565" t="s">
        <v>160</v>
      </c>
      <c r="G73" s="566" t="s">
        <v>726</v>
      </c>
      <c r="H73" s="626"/>
      <c r="I73" s="627" t="str">
        <f>IF(B73="",D73,HYPERLINK("#'"&amp;B73&amp;"'!a1",D73))</f>
        <v>New Community Hospital</v>
      </c>
      <c r="J73" s="597" t="s">
        <v>160</v>
      </c>
      <c r="K73" s="597" t="s">
        <v>735</v>
      </c>
      <c r="L73" s="570" t="s">
        <v>815</v>
      </c>
      <c r="M73" s="616">
        <v>44783.5</v>
      </c>
      <c r="N73" s="598">
        <v>573.5732452715514</v>
      </c>
      <c r="O73" s="526"/>
      <c r="P73" s="574"/>
      <c r="Q73" s="575"/>
      <c r="R73" s="574"/>
      <c r="S73" s="573"/>
      <c r="T73" s="575"/>
      <c r="U73" s="574"/>
      <c r="V73" s="573"/>
      <c r="W73" s="575"/>
      <c r="X73" s="574"/>
      <c r="Y73" s="573"/>
      <c r="Z73" s="573"/>
      <c r="AA73" s="573"/>
      <c r="AB73" s="575"/>
      <c r="AC73" s="574"/>
      <c r="AD73" s="575"/>
      <c r="AE73" s="574"/>
      <c r="AF73" s="575"/>
      <c r="AG73" s="574"/>
      <c r="AH73" s="573"/>
      <c r="AI73" s="573"/>
      <c r="AJ73" s="573"/>
      <c r="AK73" s="575"/>
      <c r="AL73" s="576"/>
      <c r="AM73" s="503"/>
      <c r="AN73" s="758"/>
      <c r="AO73" s="758"/>
      <c r="AP73" s="503"/>
      <c r="AQ73" s="503"/>
      <c r="AR73" s="503"/>
      <c r="AS73" s="503"/>
    </row>
    <row r="74" spans="2:45" ht="21.95" customHeight="1" thickTop="1">
      <c r="B74" s="555"/>
      <c r="C74" s="556" t="s">
        <v>160</v>
      </c>
      <c r="D74" s="555" t="s">
        <v>579</v>
      </c>
      <c r="E74" s="565" t="s">
        <v>726</v>
      </c>
      <c r="F74" s="565" t="s">
        <v>726</v>
      </c>
      <c r="G74" s="579"/>
      <c r="H74" s="600" t="s">
        <v>579</v>
      </c>
      <c r="I74" s="555"/>
      <c r="J74" s="555"/>
      <c r="K74" s="583"/>
      <c r="L74" s="583"/>
      <c r="M74" s="555"/>
      <c r="N74" s="601"/>
      <c r="O74" s="642"/>
      <c r="P74" s="585"/>
      <c r="Q74" s="586"/>
      <c r="R74" s="587"/>
      <c r="S74" s="588"/>
      <c r="T74" s="589"/>
      <c r="U74" s="590"/>
      <c r="V74" s="588"/>
      <c r="W74" s="589"/>
      <c r="X74" s="590"/>
      <c r="Y74" s="588"/>
      <c r="Z74" s="588"/>
      <c r="AA74" s="588"/>
      <c r="AB74" s="589"/>
      <c r="AC74" s="590"/>
      <c r="AD74" s="589"/>
      <c r="AE74" s="590"/>
      <c r="AF74" s="589"/>
      <c r="AG74" s="590"/>
      <c r="AH74" s="588"/>
      <c r="AI74" s="588"/>
      <c r="AJ74" s="588"/>
      <c r="AK74" s="589"/>
      <c r="AL74" s="591"/>
      <c r="AM74" s="503"/>
      <c r="AN74" s="758"/>
      <c r="AO74" s="758"/>
      <c r="AP74" s="503"/>
      <c r="AQ74" s="503"/>
      <c r="AR74" s="503"/>
      <c r="AS74" s="503"/>
    </row>
    <row r="75" spans="2:45" ht="21.95" customHeight="1">
      <c r="B75" s="564" t="s">
        <v>816</v>
      </c>
      <c r="C75" s="565" t="s">
        <v>160</v>
      </c>
      <c r="D75" s="540" t="s">
        <v>599</v>
      </c>
      <c r="E75" s="565">
        <v>9</v>
      </c>
      <c r="F75" s="565" t="s">
        <v>160</v>
      </c>
      <c r="G75" s="566" t="s">
        <v>726</v>
      </c>
      <c r="H75" s="628"/>
      <c r="I75" s="540" t="str">
        <f>IF(B75="",D75,HYPERLINK("#'"&amp;B75&amp;"'!a1",D75))</f>
        <v>New Museum</v>
      </c>
      <c r="J75" s="569" t="s">
        <v>160</v>
      </c>
      <c r="K75" s="569" t="s">
        <v>735</v>
      </c>
      <c r="L75" s="570" t="s">
        <v>817</v>
      </c>
      <c r="M75" s="571">
        <v>56291</v>
      </c>
      <c r="N75" s="572">
        <v>1074.0592427377726</v>
      </c>
      <c r="O75" s="573"/>
      <c r="P75" s="574" t="e">
        <v>#DIV/0!</v>
      </c>
      <c r="Q75" s="575" t="e">
        <v>#DIV/0!</v>
      </c>
      <c r="R75" s="574" t="e">
        <v>#DIV/0!</v>
      </c>
      <c r="S75" s="573" t="e">
        <v>#DIV/0!</v>
      </c>
      <c r="T75" s="575" t="e">
        <v>#DIV/0!</v>
      </c>
      <c r="U75" s="574" t="e">
        <v>#DIV/0!</v>
      </c>
      <c r="V75" s="573" t="e">
        <v>#DIV/0!</v>
      </c>
      <c r="W75" s="575" t="e">
        <v>#DIV/0!</v>
      </c>
      <c r="X75" s="574" t="e">
        <v>#DIV/0!</v>
      </c>
      <c r="Y75" s="573" t="e">
        <v>#DIV/0!</v>
      </c>
      <c r="Z75" s="573" t="e">
        <v>#DIV/0!</v>
      </c>
      <c r="AA75" s="573" t="e">
        <v>#DIV/0!</v>
      </c>
      <c r="AB75" s="575" t="e">
        <v>#DIV/0!</v>
      </c>
      <c r="AC75" s="574" t="e">
        <v>#DIV/0!</v>
      </c>
      <c r="AD75" s="575" t="e">
        <v>#DIV/0!</v>
      </c>
      <c r="AE75" s="574" t="e">
        <v>#DIV/0!</v>
      </c>
      <c r="AF75" s="575" t="e">
        <v>#DIV/0!</v>
      </c>
      <c r="AG75" s="574" t="e">
        <v>#DIV/0!</v>
      </c>
      <c r="AH75" s="573" t="e">
        <v>#DIV/0!</v>
      </c>
      <c r="AI75" s="573" t="e">
        <v>#DIV/0!</v>
      </c>
      <c r="AJ75" s="573" t="e">
        <v>#DIV/0!</v>
      </c>
      <c r="AK75" s="575" t="e">
        <v>#DIV/0!</v>
      </c>
      <c r="AL75" s="576" t="e">
        <v>#DIV/0!</v>
      </c>
      <c r="AM75" s="503"/>
      <c r="AN75" s="758"/>
      <c r="AO75" s="758"/>
      <c r="AP75" s="503"/>
      <c r="AQ75" s="503"/>
      <c r="AR75" s="503"/>
      <c r="AS75" s="503"/>
    </row>
    <row r="76" spans="2:45" ht="21.95" customHeight="1">
      <c r="B76" s="564" t="s">
        <v>818</v>
      </c>
      <c r="C76" s="565" t="s">
        <v>160</v>
      </c>
      <c r="D76" s="540" t="s">
        <v>619</v>
      </c>
      <c r="E76" s="565">
        <v>3</v>
      </c>
      <c r="F76" s="565" t="s">
        <v>160</v>
      </c>
      <c r="G76" s="566" t="s">
        <v>726</v>
      </c>
      <c r="H76" s="628"/>
      <c r="I76" s="540" t="str">
        <f>IF(B76="",D76,HYPERLINK("#'"&amp;B76&amp;"'!a1",D76))</f>
        <v>Ren. Museum</v>
      </c>
      <c r="J76" s="569" t="s">
        <v>160</v>
      </c>
      <c r="K76" s="569" t="s">
        <v>735</v>
      </c>
      <c r="L76" s="570" t="s">
        <v>819</v>
      </c>
      <c r="M76" s="571">
        <v>6100</v>
      </c>
      <c r="N76" s="572">
        <v>236.94799592124875</v>
      </c>
      <c r="O76" s="573"/>
      <c r="P76" s="574" t="e">
        <v>#DIV/0!</v>
      </c>
      <c r="Q76" s="575" t="e">
        <v>#DIV/0!</v>
      </c>
      <c r="R76" s="574" t="e">
        <v>#DIV/0!</v>
      </c>
      <c r="S76" s="573" t="e">
        <v>#DIV/0!</v>
      </c>
      <c r="T76" s="575" t="e">
        <v>#DIV/0!</v>
      </c>
      <c r="U76" s="574" t="e">
        <v>#DIV/0!</v>
      </c>
      <c r="V76" s="573" t="e">
        <v>#DIV/0!</v>
      </c>
      <c r="W76" s="575" t="e">
        <v>#DIV/0!</v>
      </c>
      <c r="X76" s="574" t="e">
        <v>#DIV/0!</v>
      </c>
      <c r="Y76" s="573" t="e">
        <v>#DIV/0!</v>
      </c>
      <c r="Z76" s="573" t="e">
        <v>#DIV/0!</v>
      </c>
      <c r="AA76" s="573" t="e">
        <v>#DIV/0!</v>
      </c>
      <c r="AB76" s="575" t="e">
        <v>#DIV/0!</v>
      </c>
      <c r="AC76" s="574" t="e">
        <v>#DIV/0!</v>
      </c>
      <c r="AD76" s="575" t="e">
        <v>#DIV/0!</v>
      </c>
      <c r="AE76" s="574" t="e">
        <v>#DIV/0!</v>
      </c>
      <c r="AF76" s="575" t="e">
        <v>#DIV/0!</v>
      </c>
      <c r="AG76" s="574" t="e">
        <v>#DIV/0!</v>
      </c>
      <c r="AH76" s="573" t="e">
        <v>#DIV/0!</v>
      </c>
      <c r="AI76" s="573" t="e">
        <v>#DIV/0!</v>
      </c>
      <c r="AJ76" s="573" t="e">
        <v>#DIV/0!</v>
      </c>
      <c r="AK76" s="575" t="e">
        <v>#DIV/0!</v>
      </c>
      <c r="AL76" s="576" t="e">
        <v>#DIV/0!</v>
      </c>
      <c r="AM76" s="503"/>
      <c r="AN76" s="758"/>
      <c r="AO76" s="758"/>
      <c r="AP76" s="503"/>
      <c r="AQ76" s="503"/>
      <c r="AR76" s="503"/>
      <c r="AS76" s="503"/>
    </row>
    <row r="77" spans="2:45" ht="21.95" customHeight="1">
      <c r="B77" s="564" t="s">
        <v>820</v>
      </c>
      <c r="C77" s="565" t="s">
        <v>160</v>
      </c>
      <c r="D77" s="540" t="s">
        <v>632</v>
      </c>
      <c r="E77" s="565">
        <v>3</v>
      </c>
      <c r="F77" s="565" t="s">
        <v>160</v>
      </c>
      <c r="G77" s="566" t="s">
        <v>726</v>
      </c>
      <c r="H77" s="628"/>
      <c r="I77" s="540" t="str">
        <f>IF(B77="",D77,HYPERLINK("#'"&amp;B77&amp;"'!a1",D77))</f>
        <v>Museum - Replicas</v>
      </c>
      <c r="J77" s="569" t="s">
        <v>160</v>
      </c>
      <c r="K77" s="569" t="s">
        <v>735</v>
      </c>
      <c r="L77" s="570" t="s">
        <v>821</v>
      </c>
      <c r="M77" s="571">
        <v>7330</v>
      </c>
      <c r="N77" s="572">
        <v>103.6532813981409</v>
      </c>
      <c r="O77" s="573"/>
      <c r="P77" s="574" t="e">
        <v>#DIV/0!</v>
      </c>
      <c r="Q77" s="575" t="e">
        <v>#DIV/0!</v>
      </c>
      <c r="R77" s="574" t="e">
        <v>#DIV/0!</v>
      </c>
      <c r="S77" s="573" t="e">
        <v>#DIV/0!</v>
      </c>
      <c r="T77" s="575" t="e">
        <v>#DIV/0!</v>
      </c>
      <c r="U77" s="574" t="e">
        <v>#DIV/0!</v>
      </c>
      <c r="V77" s="573" t="e">
        <v>#DIV/0!</v>
      </c>
      <c r="W77" s="575" t="e">
        <v>#DIV/0!</v>
      </c>
      <c r="X77" s="574" t="e">
        <v>#DIV/0!</v>
      </c>
      <c r="Y77" s="573" t="e">
        <v>#DIV/0!</v>
      </c>
      <c r="Z77" s="573" t="e">
        <v>#DIV/0!</v>
      </c>
      <c r="AA77" s="573" t="e">
        <v>#DIV/0!</v>
      </c>
      <c r="AB77" s="575" t="e">
        <v>#DIV/0!</v>
      </c>
      <c r="AC77" s="574" t="e">
        <v>#DIV/0!</v>
      </c>
      <c r="AD77" s="575" t="e">
        <v>#DIV/0!</v>
      </c>
      <c r="AE77" s="574" t="e">
        <v>#DIV/0!</v>
      </c>
      <c r="AF77" s="575" t="e">
        <v>#DIV/0!</v>
      </c>
      <c r="AG77" s="574" t="e">
        <v>#DIV/0!</v>
      </c>
      <c r="AH77" s="573" t="e">
        <v>#DIV/0!</v>
      </c>
      <c r="AI77" s="573" t="e">
        <v>#DIV/0!</v>
      </c>
      <c r="AJ77" s="573" t="e">
        <v>#DIV/0!</v>
      </c>
      <c r="AK77" s="575" t="e">
        <v>#DIV/0!</v>
      </c>
      <c r="AL77" s="576" t="e">
        <v>#DIV/0!</v>
      </c>
      <c r="AM77" s="503"/>
      <c r="AN77" s="758"/>
      <c r="AO77" s="758"/>
      <c r="AP77" s="503"/>
      <c r="AQ77" s="503"/>
      <c r="AR77" s="503"/>
      <c r="AS77" s="503"/>
    </row>
    <row r="78" spans="2:45" ht="21.95" customHeight="1">
      <c r="B78" s="555"/>
      <c r="C78" s="556" t="s">
        <v>160</v>
      </c>
      <c r="D78" s="555" t="s">
        <v>822</v>
      </c>
      <c r="E78" s="565" t="s">
        <v>726</v>
      </c>
      <c r="F78" s="565" t="s">
        <v>726</v>
      </c>
      <c r="G78" s="579"/>
      <c r="H78" s="600" t="s">
        <v>822</v>
      </c>
      <c r="I78" s="555"/>
      <c r="J78" s="555"/>
      <c r="K78" s="583"/>
      <c r="L78" s="583"/>
      <c r="M78" s="555"/>
      <c r="N78" s="601"/>
      <c r="O78" s="642"/>
      <c r="P78" s="585"/>
      <c r="Q78" s="586"/>
      <c r="R78" s="587"/>
      <c r="S78" s="588"/>
      <c r="T78" s="589"/>
      <c r="U78" s="590"/>
      <c r="V78" s="588"/>
      <c r="W78" s="589"/>
      <c r="X78" s="590"/>
      <c r="Y78" s="588"/>
      <c r="Z78" s="588"/>
      <c r="AA78" s="588"/>
      <c r="AB78" s="589"/>
      <c r="AC78" s="590"/>
      <c r="AD78" s="589"/>
      <c r="AE78" s="590"/>
      <c r="AF78" s="589"/>
      <c r="AG78" s="590"/>
      <c r="AH78" s="588"/>
      <c r="AI78" s="588"/>
      <c r="AJ78" s="588"/>
      <c r="AK78" s="589"/>
      <c r="AL78" s="591"/>
      <c r="AM78" s="503"/>
      <c r="AN78" s="758"/>
      <c r="AO78" s="758"/>
      <c r="AP78" s="503"/>
      <c r="AQ78" s="503"/>
      <c r="AR78" s="503"/>
      <c r="AS78" s="503"/>
    </row>
    <row r="79" spans="2:45" ht="21.95" customHeight="1">
      <c r="B79" s="592" t="s">
        <v>600</v>
      </c>
      <c r="C79" s="593" t="s">
        <v>160</v>
      </c>
      <c r="D79" s="568" t="s">
        <v>600</v>
      </c>
      <c r="E79" s="565">
        <v>16</v>
      </c>
      <c r="F79" s="565" t="s">
        <v>160</v>
      </c>
      <c r="G79" s="566" t="s">
        <v>726</v>
      </c>
      <c r="H79" s="606"/>
      <c r="I79" s="568" t="str">
        <f t="shared" ref="I79:I85" si="3">IF(B79="",D79,HYPERLINK("#'"&amp;B79&amp;"'!a1",D79))</f>
        <v>New Office Building</v>
      </c>
      <c r="J79" s="569" t="s">
        <v>160</v>
      </c>
      <c r="K79" s="569" t="s">
        <v>735</v>
      </c>
      <c r="L79" s="570" t="s">
        <v>823</v>
      </c>
      <c r="M79" s="571">
        <v>18217.5</v>
      </c>
      <c r="N79" s="572">
        <v>414.48153491576034</v>
      </c>
      <c r="O79" s="573"/>
      <c r="P79" s="574">
        <v>13.778964981604814</v>
      </c>
      <c r="Q79" s="575">
        <v>0.80734330193399961</v>
      </c>
      <c r="R79" s="574">
        <v>62.908539478741297</v>
      </c>
      <c r="S79" s="573">
        <v>144.57410690472585</v>
      </c>
      <c r="T79" s="575">
        <v>24.3721490425852</v>
      </c>
      <c r="U79" s="574">
        <v>17.038417467710719</v>
      </c>
      <c r="V79" s="573">
        <v>3.0616368612937164</v>
      </c>
      <c r="W79" s="575">
        <v>85.482603123660255</v>
      </c>
      <c r="X79" s="574">
        <v>3.6558109299679438</v>
      </c>
      <c r="Y79" s="573">
        <v>13.429223002256281</v>
      </c>
      <c r="Z79" s="573">
        <v>54.191079449320704</v>
      </c>
      <c r="AA79" s="573">
        <v>5.9650429546274708</v>
      </c>
      <c r="AB79" s="575">
        <v>38.718148893874755</v>
      </c>
      <c r="AC79" s="574">
        <v>0</v>
      </c>
      <c r="AD79" s="575">
        <v>2.3636191126935864</v>
      </c>
      <c r="AE79" s="574">
        <v>7.4661765932701609</v>
      </c>
      <c r="AF79" s="575">
        <v>5.3090256601398726</v>
      </c>
      <c r="AG79" s="574">
        <v>10.366140016145087</v>
      </c>
      <c r="AH79" s="573">
        <v>15.294269423804106</v>
      </c>
      <c r="AI79" s="573">
        <v>4.4597164507739988</v>
      </c>
      <c r="AJ79" s="573">
        <v>1.2201137757811584</v>
      </c>
      <c r="AK79" s="575">
        <v>4.3205400556485216</v>
      </c>
      <c r="AL79" s="576">
        <v>72.440965429974355</v>
      </c>
      <c r="AM79" s="503"/>
      <c r="AN79" s="758"/>
      <c r="AO79" s="758"/>
      <c r="AP79" s="503"/>
      <c r="AQ79" s="503"/>
      <c r="AR79" s="503"/>
      <c r="AS79" s="503"/>
    </row>
    <row r="80" spans="2:45" ht="21.95" customHeight="1">
      <c r="B80" s="592" t="s">
        <v>824</v>
      </c>
      <c r="C80" s="593" t="s">
        <v>160</v>
      </c>
      <c r="D80" s="568" t="s">
        <v>620</v>
      </c>
      <c r="E80" s="565">
        <v>7</v>
      </c>
      <c r="F80" s="565" t="s">
        <v>160</v>
      </c>
      <c r="G80" s="566" t="s">
        <v>726</v>
      </c>
      <c r="H80" s="606"/>
      <c r="I80" s="568" t="str">
        <f t="shared" si="3"/>
        <v>New Small Office Addition</v>
      </c>
      <c r="J80" s="569" t="s">
        <v>160</v>
      </c>
      <c r="K80" s="569" t="s">
        <v>735</v>
      </c>
      <c r="L80" s="570" t="s">
        <v>825</v>
      </c>
      <c r="M80" s="571">
        <v>4608</v>
      </c>
      <c r="N80" s="572">
        <v>265.98999751491056</v>
      </c>
      <c r="O80" s="573"/>
      <c r="P80" s="574" t="e">
        <v>#DIV/0!</v>
      </c>
      <c r="Q80" s="575" t="e">
        <v>#DIV/0!</v>
      </c>
      <c r="R80" s="574" t="e">
        <v>#DIV/0!</v>
      </c>
      <c r="S80" s="573" t="e">
        <v>#DIV/0!</v>
      </c>
      <c r="T80" s="575" t="e">
        <v>#DIV/0!</v>
      </c>
      <c r="U80" s="574" t="e">
        <v>#DIV/0!</v>
      </c>
      <c r="V80" s="573" t="e">
        <v>#DIV/0!</v>
      </c>
      <c r="W80" s="575" t="e">
        <v>#DIV/0!</v>
      </c>
      <c r="X80" s="574" t="e">
        <v>#DIV/0!</v>
      </c>
      <c r="Y80" s="573" t="e">
        <v>#DIV/0!</v>
      </c>
      <c r="Z80" s="573" t="e">
        <v>#DIV/0!</v>
      </c>
      <c r="AA80" s="573" t="e">
        <v>#DIV/0!</v>
      </c>
      <c r="AB80" s="575" t="e">
        <v>#DIV/0!</v>
      </c>
      <c r="AC80" s="574" t="e">
        <v>#DIV/0!</v>
      </c>
      <c r="AD80" s="575" t="e">
        <v>#DIV/0!</v>
      </c>
      <c r="AE80" s="574" t="e">
        <v>#DIV/0!</v>
      </c>
      <c r="AF80" s="575" t="e">
        <v>#DIV/0!</v>
      </c>
      <c r="AG80" s="574" t="e">
        <v>#DIV/0!</v>
      </c>
      <c r="AH80" s="573" t="e">
        <v>#DIV/0!</v>
      </c>
      <c r="AI80" s="573" t="e">
        <v>#DIV/0!</v>
      </c>
      <c r="AJ80" s="573" t="e">
        <v>#DIV/0!</v>
      </c>
      <c r="AK80" s="575" t="e">
        <v>#DIV/0!</v>
      </c>
      <c r="AL80" s="576" t="e">
        <v>#DIV/0!</v>
      </c>
      <c r="AM80" s="503"/>
      <c r="AN80" s="758"/>
      <c r="AO80" s="758"/>
      <c r="AP80" s="503"/>
      <c r="AQ80" s="503"/>
      <c r="AR80" s="503"/>
      <c r="AS80" s="503"/>
    </row>
    <row r="81" spans="2:45" ht="21.95" customHeight="1">
      <c r="B81" s="592" t="s">
        <v>826</v>
      </c>
      <c r="C81" s="593" t="s">
        <v>160</v>
      </c>
      <c r="D81" s="568" t="s">
        <v>633</v>
      </c>
      <c r="E81" s="565">
        <v>8</v>
      </c>
      <c r="F81" s="565" t="s">
        <v>160</v>
      </c>
      <c r="G81" s="566" t="s">
        <v>726</v>
      </c>
      <c r="H81" s="606"/>
      <c r="I81" s="568" t="str">
        <f t="shared" si="3"/>
        <v>New/Ren Office 50-50</v>
      </c>
      <c r="J81" s="569" t="s">
        <v>160</v>
      </c>
      <c r="K81" s="569" t="s">
        <v>735</v>
      </c>
      <c r="L81" s="570" t="s">
        <v>827</v>
      </c>
      <c r="M81" s="571">
        <v>26808.5</v>
      </c>
      <c r="N81" s="572">
        <v>484.51425309266381</v>
      </c>
      <c r="O81" s="573"/>
      <c r="P81" s="574" t="e">
        <v>#DIV/0!</v>
      </c>
      <c r="Q81" s="575" t="e">
        <v>#DIV/0!</v>
      </c>
      <c r="R81" s="574" t="e">
        <v>#DIV/0!</v>
      </c>
      <c r="S81" s="573" t="e">
        <v>#DIV/0!</v>
      </c>
      <c r="T81" s="575" t="e">
        <v>#DIV/0!</v>
      </c>
      <c r="U81" s="574" t="e">
        <v>#DIV/0!</v>
      </c>
      <c r="V81" s="573" t="e">
        <v>#DIV/0!</v>
      </c>
      <c r="W81" s="575" t="e">
        <v>#DIV/0!</v>
      </c>
      <c r="X81" s="574" t="e">
        <v>#DIV/0!</v>
      </c>
      <c r="Y81" s="573" t="e">
        <v>#DIV/0!</v>
      </c>
      <c r="Z81" s="573" t="e">
        <v>#DIV/0!</v>
      </c>
      <c r="AA81" s="573" t="e">
        <v>#DIV/0!</v>
      </c>
      <c r="AB81" s="575" t="e">
        <v>#DIV/0!</v>
      </c>
      <c r="AC81" s="574" t="e">
        <v>#DIV/0!</v>
      </c>
      <c r="AD81" s="575" t="e">
        <v>#DIV/0!</v>
      </c>
      <c r="AE81" s="574" t="e">
        <v>#DIV/0!</v>
      </c>
      <c r="AF81" s="575" t="e">
        <v>#DIV/0!</v>
      </c>
      <c r="AG81" s="574" t="e">
        <v>#DIV/0!</v>
      </c>
      <c r="AH81" s="573" t="e">
        <v>#DIV/0!</v>
      </c>
      <c r="AI81" s="573" t="e">
        <v>#DIV/0!</v>
      </c>
      <c r="AJ81" s="573" t="e">
        <v>#DIV/0!</v>
      </c>
      <c r="AK81" s="575" t="e">
        <v>#DIV/0!</v>
      </c>
      <c r="AL81" s="576" t="e">
        <v>#DIV/0!</v>
      </c>
      <c r="AM81" s="503"/>
      <c r="AN81" s="758"/>
      <c r="AO81" s="758"/>
      <c r="AP81" s="503"/>
      <c r="AQ81" s="503"/>
      <c r="AR81" s="503"/>
      <c r="AS81" s="503"/>
    </row>
    <row r="82" spans="2:45" ht="21.95" hidden="1" customHeight="1">
      <c r="B82" s="592" t="s">
        <v>828</v>
      </c>
      <c r="C82" s="593" t="s">
        <v>284</v>
      </c>
      <c r="D82" s="568" t="s">
        <v>639</v>
      </c>
      <c r="E82" s="565">
        <v>6</v>
      </c>
      <c r="F82" s="565" t="s">
        <v>160</v>
      </c>
      <c r="G82" s="566" t="s">
        <v>742</v>
      </c>
      <c r="H82" s="606"/>
      <c r="I82" s="568" t="str">
        <f t="shared" si="3"/>
        <v>Ren. Office - L</v>
      </c>
      <c r="J82" s="569" t="s">
        <v>160</v>
      </c>
      <c r="K82" s="569" t="s">
        <v>735</v>
      </c>
      <c r="L82" s="570" t="s">
        <v>829</v>
      </c>
      <c r="M82" s="571">
        <v>118000</v>
      </c>
      <c r="N82" s="572">
        <v>30.167395575411579</v>
      </c>
      <c r="O82" s="573"/>
      <c r="P82" s="574">
        <v>0</v>
      </c>
      <c r="Q82" s="575">
        <v>1.8829401071942535</v>
      </c>
      <c r="R82" s="574">
        <v>1.8899683259716755</v>
      </c>
      <c r="S82" s="573">
        <v>24.353729895707247</v>
      </c>
      <c r="T82" s="575">
        <v>0.54944611494865925</v>
      </c>
      <c r="U82" s="574">
        <v>14.680672714135721</v>
      </c>
      <c r="V82" s="573">
        <v>2.734522941690666</v>
      </c>
      <c r="W82" s="575">
        <v>0</v>
      </c>
      <c r="X82" s="574">
        <v>0</v>
      </c>
      <c r="Y82" s="573">
        <v>0.42853639229702611</v>
      </c>
      <c r="Z82" s="573">
        <v>8.7226736052986151</v>
      </c>
      <c r="AA82" s="573">
        <v>1.0701162301661402</v>
      </c>
      <c r="AB82" s="575">
        <v>16.452929337441564</v>
      </c>
      <c r="AC82" s="574">
        <v>1.4061083938246464</v>
      </c>
      <c r="AD82" s="575">
        <v>1.4463920868171876</v>
      </c>
      <c r="AE82" s="574">
        <v>0</v>
      </c>
      <c r="AF82" s="575">
        <v>7.6058589664136864</v>
      </c>
      <c r="AG82" s="574">
        <v>8.5318245348131221</v>
      </c>
      <c r="AH82" s="573">
        <v>0.473660443921258</v>
      </c>
      <c r="AI82" s="573">
        <v>0</v>
      </c>
      <c r="AJ82" s="573">
        <v>0</v>
      </c>
      <c r="AK82" s="575">
        <v>-3.1704982389252532</v>
      </c>
      <c r="AL82" s="576">
        <v>10.074884132098942</v>
      </c>
      <c r="AM82" s="503"/>
      <c r="AN82" s="758"/>
      <c r="AO82" s="758"/>
      <c r="AP82" s="503"/>
      <c r="AQ82" s="503"/>
      <c r="AR82" s="503"/>
      <c r="AS82" s="503"/>
    </row>
    <row r="83" spans="2:45" ht="21.95" customHeight="1">
      <c r="B83" s="592" t="s">
        <v>830</v>
      </c>
      <c r="C83" s="593" t="s">
        <v>160</v>
      </c>
      <c r="D83" s="568" t="s">
        <v>643</v>
      </c>
      <c r="E83" s="565">
        <v>6</v>
      </c>
      <c r="F83" s="565" t="s">
        <v>160</v>
      </c>
      <c r="G83" s="566" t="s">
        <v>726</v>
      </c>
      <c r="H83" s="606"/>
      <c r="I83" s="568" t="str">
        <f t="shared" si="3"/>
        <v>Ren. Office - M</v>
      </c>
      <c r="J83" s="569" t="s">
        <v>160</v>
      </c>
      <c r="K83" s="569" t="s">
        <v>735</v>
      </c>
      <c r="L83" s="570" t="s">
        <v>831</v>
      </c>
      <c r="M83" s="571">
        <v>31370</v>
      </c>
      <c r="N83" s="572">
        <v>210.05052145631913</v>
      </c>
      <c r="O83" s="573"/>
      <c r="P83" s="574">
        <v>0.57109916381363102</v>
      </c>
      <c r="Q83" s="575">
        <v>0</v>
      </c>
      <c r="R83" s="574">
        <v>22.532478422518928</v>
      </c>
      <c r="S83" s="573">
        <v>2.166207096866553</v>
      </c>
      <c r="T83" s="575">
        <v>5.687182306488535</v>
      </c>
      <c r="U83" s="574">
        <v>32.49325982876109</v>
      </c>
      <c r="V83" s="573">
        <v>0</v>
      </c>
      <c r="W83" s="575">
        <v>6.7501846078921623</v>
      </c>
      <c r="X83" s="574">
        <v>13.827221988401075</v>
      </c>
      <c r="Y83" s="573">
        <v>14.673549447495885</v>
      </c>
      <c r="Z83" s="573">
        <v>40.829755818604781</v>
      </c>
      <c r="AA83" s="573">
        <v>5.9374464408491399</v>
      </c>
      <c r="AB83" s="575">
        <v>26.151875761335901</v>
      </c>
      <c r="AC83" s="574">
        <v>0</v>
      </c>
      <c r="AD83" s="575">
        <v>0</v>
      </c>
      <c r="AE83" s="574">
        <v>0</v>
      </c>
      <c r="AF83" s="575">
        <v>3.7304774794942777</v>
      </c>
      <c r="AG83" s="574">
        <v>5.7036296015222199</v>
      </c>
      <c r="AH83" s="573">
        <v>3.6634883595682712</v>
      </c>
      <c r="AI83" s="573">
        <v>0</v>
      </c>
      <c r="AJ83" s="573">
        <v>0</v>
      </c>
      <c r="AK83" s="575">
        <v>6.3409964778505064</v>
      </c>
      <c r="AL83" s="576">
        <v>29.354307555843068</v>
      </c>
      <c r="AM83" s="503"/>
      <c r="AN83" s="758"/>
      <c r="AO83" s="758"/>
      <c r="AP83" s="503"/>
      <c r="AQ83" s="503"/>
      <c r="AR83" s="503"/>
      <c r="AS83" s="503"/>
    </row>
    <row r="84" spans="2:45" ht="21.95" customHeight="1">
      <c r="B84" s="592" t="s">
        <v>832</v>
      </c>
      <c r="C84" s="593" t="s">
        <v>160</v>
      </c>
      <c r="D84" s="568" t="s">
        <v>647</v>
      </c>
      <c r="E84" s="565">
        <v>7</v>
      </c>
      <c r="F84" s="565" t="s">
        <v>160</v>
      </c>
      <c r="G84" s="566" t="s">
        <v>726</v>
      </c>
      <c r="H84" s="606"/>
      <c r="I84" s="568" t="str">
        <f t="shared" si="3"/>
        <v>Ren. Office - H</v>
      </c>
      <c r="J84" s="569" t="s">
        <v>160</v>
      </c>
      <c r="K84" s="569" t="s">
        <v>735</v>
      </c>
      <c r="L84" s="570" t="s">
        <v>833</v>
      </c>
      <c r="M84" s="571">
        <v>33935</v>
      </c>
      <c r="N84" s="572">
        <v>284.03414069819661</v>
      </c>
      <c r="O84" s="573"/>
      <c r="P84" s="574">
        <v>2.4095441451730171</v>
      </c>
      <c r="Q84" s="575">
        <v>2.8294245725539229</v>
      </c>
      <c r="R84" s="574">
        <v>28.990032088350389</v>
      </c>
      <c r="S84" s="573">
        <v>43.716175219590468</v>
      </c>
      <c r="T84" s="575">
        <v>8.0462294722306158</v>
      </c>
      <c r="U84" s="574">
        <v>62.888516589328148</v>
      </c>
      <c r="V84" s="573">
        <v>4.109066653724323</v>
      </c>
      <c r="W84" s="575">
        <v>5.0716265817144741</v>
      </c>
      <c r="X84" s="574">
        <v>10.886971933548573</v>
      </c>
      <c r="Y84" s="573">
        <v>17.535942635029073</v>
      </c>
      <c r="Z84" s="573">
        <v>59.301505112772809</v>
      </c>
      <c r="AA84" s="573">
        <v>6.7119910868142867</v>
      </c>
      <c r="AB84" s="575">
        <v>53.296814217451271</v>
      </c>
      <c r="AC84" s="574">
        <v>2.1129071636219305</v>
      </c>
      <c r="AD84" s="575">
        <v>2.1734399816286349</v>
      </c>
      <c r="AE84" s="574">
        <v>9.5162019249088112E-3</v>
      </c>
      <c r="AF84" s="575">
        <v>18.308326177305986</v>
      </c>
      <c r="AG84" s="574">
        <v>18.14321497812595</v>
      </c>
      <c r="AH84" s="573">
        <v>3.4642464022455122</v>
      </c>
      <c r="AI84" s="573">
        <v>0</v>
      </c>
      <c r="AJ84" s="573">
        <v>0</v>
      </c>
      <c r="AK84" s="575">
        <v>0.15661649370413536</v>
      </c>
      <c r="AL84" s="576">
        <v>51.298090735692234</v>
      </c>
      <c r="AM84" s="503"/>
      <c r="AN84" s="758"/>
      <c r="AO84" s="758"/>
      <c r="AP84" s="503"/>
      <c r="AQ84" s="503"/>
      <c r="AR84" s="503"/>
      <c r="AS84" s="503"/>
    </row>
    <row r="85" spans="2:45" ht="21.95" customHeight="1">
      <c r="B85" s="592" t="s">
        <v>651</v>
      </c>
      <c r="C85" s="593" t="s">
        <v>160</v>
      </c>
      <c r="D85" s="568" t="s">
        <v>651</v>
      </c>
      <c r="E85" s="565">
        <v>6</v>
      </c>
      <c r="F85" s="565" t="s">
        <v>160</v>
      </c>
      <c r="G85" s="566" t="s">
        <v>726</v>
      </c>
      <c r="H85" s="606"/>
      <c r="I85" s="568" t="str">
        <f t="shared" si="3"/>
        <v>Office Tenant Upfit - M</v>
      </c>
      <c r="J85" s="569" t="s">
        <v>160</v>
      </c>
      <c r="K85" s="569" t="s">
        <v>735</v>
      </c>
      <c r="L85" s="570" t="s">
        <v>834</v>
      </c>
      <c r="M85" s="571">
        <v>15954.5</v>
      </c>
      <c r="N85" s="572">
        <v>90.908244168277577</v>
      </c>
      <c r="O85" s="573"/>
      <c r="P85" s="574"/>
      <c r="Q85" s="575"/>
      <c r="R85" s="574"/>
      <c r="S85" s="573"/>
      <c r="T85" s="575"/>
      <c r="U85" s="574"/>
      <c r="V85" s="573"/>
      <c r="W85" s="575"/>
      <c r="X85" s="574"/>
      <c r="Y85" s="573"/>
      <c r="Z85" s="573"/>
      <c r="AA85" s="573"/>
      <c r="AB85" s="575"/>
      <c r="AC85" s="574"/>
      <c r="AD85" s="575"/>
      <c r="AE85" s="574"/>
      <c r="AF85" s="575"/>
      <c r="AG85" s="574"/>
      <c r="AH85" s="573"/>
      <c r="AI85" s="573"/>
      <c r="AJ85" s="573"/>
      <c r="AK85" s="575"/>
      <c r="AL85" s="576"/>
      <c r="AM85" s="503"/>
      <c r="AN85" s="758"/>
      <c r="AO85" s="758"/>
      <c r="AP85" s="503"/>
      <c r="AQ85" s="503"/>
      <c r="AR85" s="503"/>
      <c r="AS85" s="503"/>
    </row>
    <row r="86" spans="2:45" ht="21.95" customHeight="1">
      <c r="B86" s="555"/>
      <c r="C86" s="556" t="s">
        <v>160</v>
      </c>
      <c r="D86" s="555" t="s">
        <v>581</v>
      </c>
      <c r="E86" s="565" t="s">
        <v>726</v>
      </c>
      <c r="F86" s="565" t="s">
        <v>726</v>
      </c>
      <c r="G86" s="579"/>
      <c r="H86" s="600" t="s">
        <v>581</v>
      </c>
      <c r="I86" s="555"/>
      <c r="J86" s="555"/>
      <c r="K86" s="583"/>
      <c r="L86" s="583"/>
      <c r="M86" s="555"/>
      <c r="N86" s="601" t="s">
        <v>835</v>
      </c>
      <c r="O86" s="642"/>
      <c r="P86" s="585"/>
      <c r="Q86" s="586"/>
      <c r="R86" s="587"/>
      <c r="S86" s="588"/>
      <c r="T86" s="589"/>
      <c r="U86" s="590"/>
      <c r="V86" s="588"/>
      <c r="W86" s="589"/>
      <c r="X86" s="590"/>
      <c r="Y86" s="588"/>
      <c r="Z86" s="588"/>
      <c r="AA86" s="588"/>
      <c r="AB86" s="589"/>
      <c r="AC86" s="590"/>
      <c r="AD86" s="589"/>
      <c r="AE86" s="590"/>
      <c r="AF86" s="589"/>
      <c r="AG86" s="590"/>
      <c r="AH86" s="588"/>
      <c r="AI86" s="588"/>
      <c r="AJ86" s="588"/>
      <c r="AK86" s="589"/>
      <c r="AL86" s="591"/>
      <c r="AM86" s="503"/>
      <c r="AN86" s="758"/>
      <c r="AO86" s="758"/>
      <c r="AP86" s="503"/>
      <c r="AQ86" s="503"/>
      <c r="AR86" s="503"/>
      <c r="AS86" s="503"/>
    </row>
    <row r="87" spans="2:45" ht="21.95" customHeight="1">
      <c r="B87" s="564" t="s">
        <v>836</v>
      </c>
      <c r="C87" s="565" t="s">
        <v>160</v>
      </c>
      <c r="D87" s="540" t="s">
        <v>601</v>
      </c>
      <c r="E87" s="565">
        <v>13</v>
      </c>
      <c r="F87" s="565" t="s">
        <v>160</v>
      </c>
      <c r="G87" s="566" t="s">
        <v>726</v>
      </c>
      <c r="H87" s="629"/>
      <c r="I87" s="540" t="str">
        <f>IF(B87="",D87,HYPERLINK("#'"&amp;B87&amp;"'!a1",D87))</f>
        <v>New Parking (surface lots)</v>
      </c>
      <c r="J87" s="569" t="s">
        <v>284</v>
      </c>
      <c r="K87" s="569" t="s">
        <v>837</v>
      </c>
      <c r="L87" s="570" t="s">
        <v>838</v>
      </c>
      <c r="M87" s="571">
        <v>199</v>
      </c>
      <c r="N87" s="572">
        <v>3410.4792001243331</v>
      </c>
      <c r="O87" s="573"/>
      <c r="P87" s="1010"/>
      <c r="Q87" s="1011"/>
      <c r="R87" s="1011"/>
      <c r="S87" s="1011"/>
      <c r="T87" s="575">
        <v>0</v>
      </c>
      <c r="U87" s="574">
        <v>0</v>
      </c>
      <c r="V87" s="573">
        <v>0</v>
      </c>
      <c r="W87" s="575">
        <v>0</v>
      </c>
      <c r="X87" s="574">
        <v>0</v>
      </c>
      <c r="Y87" s="573">
        <v>0</v>
      </c>
      <c r="Z87" s="573">
        <v>0</v>
      </c>
      <c r="AA87" s="573">
        <v>0</v>
      </c>
      <c r="AB87" s="575">
        <v>0</v>
      </c>
      <c r="AC87" s="574">
        <v>0</v>
      </c>
      <c r="AD87" s="575">
        <v>0</v>
      </c>
      <c r="AE87" s="574">
        <v>0</v>
      </c>
      <c r="AF87" s="575">
        <v>0</v>
      </c>
      <c r="AG87" s="574">
        <v>0</v>
      </c>
      <c r="AH87" s="573">
        <v>0</v>
      </c>
      <c r="AI87" s="573">
        <v>0</v>
      </c>
      <c r="AJ87" s="573">
        <v>0</v>
      </c>
      <c r="AK87" s="575">
        <v>0</v>
      </c>
      <c r="AL87" s="576">
        <v>0</v>
      </c>
      <c r="AM87" s="503"/>
      <c r="AN87" s="758"/>
      <c r="AO87" s="758"/>
      <c r="AP87" s="503"/>
      <c r="AQ87" s="503"/>
      <c r="AR87" s="503"/>
      <c r="AS87" s="503"/>
    </row>
    <row r="88" spans="2:45" ht="21.95" customHeight="1">
      <c r="B88" s="555"/>
      <c r="C88" s="556" t="s">
        <v>160</v>
      </c>
      <c r="D88" s="555" t="s">
        <v>226</v>
      </c>
      <c r="E88" s="565" t="s">
        <v>726</v>
      </c>
      <c r="F88" s="565" t="s">
        <v>726</v>
      </c>
      <c r="G88" s="579"/>
      <c r="H88" s="600" t="s">
        <v>226</v>
      </c>
      <c r="I88" s="555"/>
      <c r="J88" s="555"/>
      <c r="K88" s="583"/>
      <c r="L88" s="583"/>
      <c r="M88" s="555"/>
      <c r="N88" s="601"/>
      <c r="O88" s="642"/>
      <c r="P88" s="585"/>
      <c r="Q88" s="586"/>
      <c r="R88" s="587"/>
      <c r="S88" s="588"/>
      <c r="T88" s="589"/>
      <c r="U88" s="590"/>
      <c r="V88" s="588"/>
      <c r="W88" s="589"/>
      <c r="X88" s="590"/>
      <c r="Y88" s="588"/>
      <c r="Z88" s="588"/>
      <c r="AA88" s="588"/>
      <c r="AB88" s="589"/>
      <c r="AC88" s="590"/>
      <c r="AD88" s="589"/>
      <c r="AE88" s="590"/>
      <c r="AF88" s="589"/>
      <c r="AG88" s="590"/>
      <c r="AH88" s="588"/>
      <c r="AI88" s="588"/>
      <c r="AJ88" s="588"/>
      <c r="AK88" s="589"/>
      <c r="AL88" s="591"/>
      <c r="AM88" s="503"/>
      <c r="AN88" s="758"/>
      <c r="AO88" s="758"/>
      <c r="AP88" s="503"/>
      <c r="AQ88" s="503"/>
      <c r="AR88" s="503"/>
      <c r="AS88" s="503"/>
    </row>
    <row r="89" spans="2:45" ht="21.95" customHeight="1" thickBot="1">
      <c r="B89" s="564" t="s">
        <v>839</v>
      </c>
      <c r="C89" s="565" t="s">
        <v>160</v>
      </c>
      <c r="D89" s="540" t="s">
        <v>602</v>
      </c>
      <c r="E89" s="565">
        <v>15</v>
      </c>
      <c r="F89" s="565" t="s">
        <v>160</v>
      </c>
      <c r="G89" s="566" t="s">
        <v>726</v>
      </c>
      <c r="H89" s="606"/>
      <c r="I89" s="540" t="str">
        <f>IF(B89="",D89,HYPERLINK("#'"&amp;B89&amp;"'!a1",D89))</f>
        <v>New Parking Structure</v>
      </c>
      <c r="J89" s="569" t="s">
        <v>160</v>
      </c>
      <c r="K89" s="569" t="s">
        <v>735</v>
      </c>
      <c r="L89" s="570" t="s">
        <v>840</v>
      </c>
      <c r="M89" s="571">
        <v>246957</v>
      </c>
      <c r="N89" s="572">
        <v>85.252715326201113</v>
      </c>
      <c r="O89" s="573"/>
      <c r="P89" s="574" t="e">
        <v>#DIV/0!</v>
      </c>
      <c r="Q89" s="630" t="e">
        <v>#DIV/0!</v>
      </c>
      <c r="R89" s="574" t="e">
        <v>#DIV/0!</v>
      </c>
      <c r="S89" s="573" t="e">
        <v>#DIV/0!</v>
      </c>
      <c r="T89" s="575" t="e">
        <v>#DIV/0!</v>
      </c>
      <c r="U89" s="574" t="e">
        <v>#DIV/0!</v>
      </c>
      <c r="V89" s="573" t="e">
        <v>#DIV/0!</v>
      </c>
      <c r="W89" s="575" t="e">
        <v>#DIV/0!</v>
      </c>
      <c r="X89" s="574" t="e">
        <v>#DIV/0!</v>
      </c>
      <c r="Y89" s="573" t="e">
        <v>#DIV/0!</v>
      </c>
      <c r="Z89" s="573" t="e">
        <v>#DIV/0!</v>
      </c>
      <c r="AA89" s="573" t="e">
        <v>#DIV/0!</v>
      </c>
      <c r="AB89" s="575" t="e">
        <v>#DIV/0!</v>
      </c>
      <c r="AC89" s="574" t="e">
        <v>#DIV/0!</v>
      </c>
      <c r="AD89" s="575" t="e">
        <v>#DIV/0!</v>
      </c>
      <c r="AE89" s="574" t="e">
        <v>#DIV/0!</v>
      </c>
      <c r="AF89" s="575" t="e">
        <v>#DIV/0!</v>
      </c>
      <c r="AG89" s="574" t="e">
        <v>#DIV/0!</v>
      </c>
      <c r="AH89" s="573" t="e">
        <v>#DIV/0!</v>
      </c>
      <c r="AI89" s="573" t="e">
        <v>#DIV/0!</v>
      </c>
      <c r="AJ89" s="573" t="e">
        <v>#DIV/0!</v>
      </c>
      <c r="AK89" s="575" t="e">
        <v>#DIV/0!</v>
      </c>
      <c r="AL89" s="576" t="e">
        <v>#DIV/0!</v>
      </c>
      <c r="AM89" s="503"/>
      <c r="AN89" s="758"/>
      <c r="AO89" s="758"/>
      <c r="AP89" s="503"/>
      <c r="AQ89" s="503"/>
      <c r="AR89" s="503"/>
      <c r="AS89" s="503"/>
    </row>
    <row r="90" spans="2:45" ht="21.95" hidden="1" customHeight="1" thickBot="1">
      <c r="B90" s="555"/>
      <c r="C90" s="556"/>
      <c r="D90" s="555" t="s">
        <v>841</v>
      </c>
      <c r="E90" s="565" t="s">
        <v>726</v>
      </c>
      <c r="F90" s="565" t="s">
        <v>726</v>
      </c>
      <c r="G90" s="579"/>
      <c r="H90" s="609" t="s">
        <v>841</v>
      </c>
      <c r="I90" s="610"/>
      <c r="J90" s="631"/>
      <c r="K90" s="632"/>
      <c r="L90" s="610"/>
      <c r="M90" s="631"/>
      <c r="N90" s="631"/>
      <c r="O90" s="588"/>
      <c r="P90" s="589"/>
      <c r="Q90" s="590"/>
      <c r="R90" s="588"/>
      <c r="S90" s="589"/>
      <c r="T90" s="590"/>
      <c r="U90" s="588"/>
      <c r="V90" s="588"/>
      <c r="W90" s="588"/>
      <c r="X90" s="589"/>
      <c r="Y90" s="590"/>
      <c r="Z90" s="589"/>
      <c r="AA90" s="590"/>
      <c r="AB90" s="589"/>
      <c r="AC90" s="590"/>
      <c r="AD90" s="588"/>
      <c r="AE90" s="588"/>
      <c r="AF90" s="588"/>
      <c r="AG90" s="589"/>
      <c r="AH90" s="591"/>
      <c r="AI90" s="503"/>
      <c r="AJ90" s="503"/>
      <c r="AK90" s="503"/>
      <c r="AL90" s="503"/>
      <c r="AM90" s="503"/>
      <c r="AN90" s="758"/>
      <c r="AO90" s="758"/>
      <c r="AP90" s="503"/>
      <c r="AQ90" s="503"/>
      <c r="AR90" s="503"/>
      <c r="AS90" s="503"/>
    </row>
    <row r="91" spans="2:45" ht="21.95" hidden="1" customHeight="1" thickTop="1">
      <c r="B91" s="564" t="s">
        <v>842</v>
      </c>
      <c r="C91" s="565" t="s">
        <v>284</v>
      </c>
      <c r="D91" s="564" t="s">
        <v>842</v>
      </c>
      <c r="E91" s="565">
        <v>5</v>
      </c>
      <c r="F91" s="565" t="s">
        <v>160</v>
      </c>
      <c r="G91" s="566" t="s">
        <v>726</v>
      </c>
      <c r="H91" s="633"/>
      <c r="I91" s="540" t="str">
        <f t="shared" ref="I91:I92" si="4">IF(B91="",D91,HYPERLINK("#'"&amp;B91&amp;"'!a1",D91))</f>
        <v xml:space="preserve">New Readiness Center </v>
      </c>
      <c r="J91" s="634" t="s">
        <v>160</v>
      </c>
      <c r="K91" s="635" t="s">
        <v>735</v>
      </c>
      <c r="L91" s="570" t="s">
        <v>843</v>
      </c>
      <c r="M91" s="571">
        <v>3520</v>
      </c>
      <c r="N91" s="572">
        <v>553.93845041749739</v>
      </c>
      <c r="O91" s="509"/>
      <c r="P91" s="509"/>
      <c r="Q91" s="509"/>
      <c r="R91" s="509"/>
      <c r="S91" s="509"/>
      <c r="T91" s="509"/>
      <c r="U91" s="509"/>
      <c r="V91" s="509"/>
      <c r="W91" s="509"/>
      <c r="X91" s="509"/>
      <c r="Y91" s="509"/>
      <c r="Z91" s="509"/>
      <c r="AA91" s="509"/>
      <c r="AB91" s="554"/>
      <c r="AC91" s="636"/>
      <c r="AD91" s="509"/>
      <c r="AE91" s="509"/>
      <c r="AF91" s="509"/>
      <c r="AG91" s="509"/>
      <c r="AH91" s="509"/>
      <c r="AI91" s="503"/>
      <c r="AJ91" s="503"/>
      <c r="AK91" s="503"/>
      <c r="AL91" s="503"/>
      <c r="AM91" s="503"/>
      <c r="AN91" s="758"/>
      <c r="AO91" s="758"/>
      <c r="AP91" s="503"/>
      <c r="AQ91" s="503"/>
      <c r="AR91" s="503"/>
      <c r="AS91" s="503"/>
    </row>
    <row r="92" spans="2:45" ht="21.95" hidden="1" customHeight="1" thickBot="1">
      <c r="B92" s="564" t="s">
        <v>844</v>
      </c>
      <c r="C92" s="565" t="s">
        <v>284</v>
      </c>
      <c r="D92" s="540" t="s">
        <v>844</v>
      </c>
      <c r="E92" s="565">
        <v>5</v>
      </c>
      <c r="F92" s="565" t="s">
        <v>160</v>
      </c>
      <c r="G92" s="566" t="s">
        <v>726</v>
      </c>
      <c r="H92" s="637"/>
      <c r="I92" s="540" t="str">
        <f t="shared" si="4"/>
        <v>Ren Readiness Center</v>
      </c>
      <c r="J92" s="638" t="s">
        <v>160</v>
      </c>
      <c r="K92" s="638" t="s">
        <v>735</v>
      </c>
      <c r="L92" s="570" t="s">
        <v>845</v>
      </c>
      <c r="M92" s="571">
        <v>16117</v>
      </c>
      <c r="N92" s="572">
        <v>242.44224406510236</v>
      </c>
      <c r="O92" s="573"/>
      <c r="P92" s="568"/>
      <c r="Q92" s="575"/>
      <c r="R92" s="574"/>
      <c r="S92" s="573"/>
      <c r="T92" s="575"/>
      <c r="U92" s="574"/>
      <c r="V92" s="573"/>
      <c r="W92" s="575"/>
      <c r="X92" s="574"/>
      <c r="Y92" s="573"/>
      <c r="Z92" s="573"/>
      <c r="AA92" s="573"/>
      <c r="AB92" s="575"/>
      <c r="AC92" s="574"/>
      <c r="AD92" s="575"/>
      <c r="AE92" s="574"/>
      <c r="AF92" s="575"/>
      <c r="AG92" s="574"/>
      <c r="AH92" s="573"/>
      <c r="AI92" s="573"/>
      <c r="AJ92" s="573"/>
      <c r="AK92" s="575"/>
      <c r="AL92" s="576"/>
      <c r="AM92" s="503"/>
      <c r="AN92" s="758"/>
      <c r="AO92" s="758"/>
      <c r="AP92" s="503"/>
      <c r="AQ92" s="503"/>
      <c r="AR92" s="503"/>
      <c r="AS92" s="503"/>
    </row>
    <row r="93" spans="2:45" ht="21.95" customHeight="1" thickTop="1">
      <c r="B93" s="555"/>
      <c r="C93" s="556" t="s">
        <v>160</v>
      </c>
      <c r="D93" s="555" t="s">
        <v>846</v>
      </c>
      <c r="E93" s="565" t="s">
        <v>726</v>
      </c>
      <c r="F93" s="565" t="s">
        <v>726</v>
      </c>
      <c r="G93" s="579"/>
      <c r="H93" s="580" t="s">
        <v>846</v>
      </c>
      <c r="I93" s="581"/>
      <c r="J93" s="581"/>
      <c r="K93" s="582"/>
      <c r="L93" s="582"/>
      <c r="M93" s="581"/>
      <c r="N93" s="584"/>
      <c r="O93" s="642"/>
      <c r="P93" s="585"/>
      <c r="Q93" s="586"/>
      <c r="R93" s="587"/>
      <c r="S93" s="588"/>
      <c r="T93" s="589"/>
      <c r="U93" s="590"/>
      <c r="V93" s="588"/>
      <c r="W93" s="589"/>
      <c r="X93" s="590"/>
      <c r="Y93" s="588"/>
      <c r="Z93" s="588"/>
      <c r="AA93" s="588"/>
      <c r="AB93" s="589"/>
      <c r="AC93" s="590"/>
      <c r="AD93" s="589"/>
      <c r="AE93" s="590"/>
      <c r="AF93" s="589"/>
      <c r="AG93" s="590"/>
      <c r="AH93" s="588"/>
      <c r="AI93" s="588"/>
      <c r="AJ93" s="588"/>
      <c r="AK93" s="589"/>
      <c r="AL93" s="591"/>
      <c r="AM93" s="503"/>
      <c r="AN93" s="758"/>
      <c r="AO93" s="758"/>
      <c r="AP93" s="503"/>
      <c r="AQ93" s="503"/>
      <c r="AR93" s="503"/>
      <c r="AS93" s="503"/>
    </row>
    <row r="94" spans="2:45" ht="21.95" customHeight="1">
      <c r="B94" s="564" t="s">
        <v>847</v>
      </c>
      <c r="C94" s="565" t="s">
        <v>160</v>
      </c>
      <c r="D94" s="540" t="s">
        <v>603</v>
      </c>
      <c r="E94" s="565">
        <v>48</v>
      </c>
      <c r="F94" s="565" t="s">
        <v>160</v>
      </c>
      <c r="G94" s="566" t="s">
        <v>726</v>
      </c>
      <c r="H94" s="606"/>
      <c r="I94" s="540" t="str">
        <f>IF(B94="",D94,HYPERLINK("#'"&amp;B94&amp;"'!a1",D94))</f>
        <v>Roof Replacement</v>
      </c>
      <c r="J94" s="569" t="s">
        <v>160</v>
      </c>
      <c r="K94" s="569" t="s">
        <v>735</v>
      </c>
      <c r="L94" s="570" t="s">
        <v>848</v>
      </c>
      <c r="M94" s="571">
        <v>29936.5</v>
      </c>
      <c r="N94" s="572">
        <v>24.55502177403292</v>
      </c>
      <c r="O94" s="573"/>
      <c r="P94" s="574" t="e">
        <v>#REF!</v>
      </c>
      <c r="Q94" s="575" t="e">
        <v>#REF!</v>
      </c>
      <c r="R94" s="574" t="e">
        <v>#REF!</v>
      </c>
      <c r="S94" s="573" t="e">
        <v>#REF!</v>
      </c>
      <c r="T94" s="575" t="e">
        <v>#REF!</v>
      </c>
      <c r="U94" s="574" t="e">
        <v>#REF!</v>
      </c>
      <c r="V94" s="573" t="e">
        <v>#REF!</v>
      </c>
      <c r="W94" s="575" t="e">
        <v>#REF!</v>
      </c>
      <c r="X94" s="574" t="e">
        <v>#REF!</v>
      </c>
      <c r="Y94" s="573" t="e">
        <v>#REF!</v>
      </c>
      <c r="Z94" s="573" t="e">
        <v>#REF!</v>
      </c>
      <c r="AA94" s="573" t="e">
        <v>#REF!</v>
      </c>
      <c r="AB94" s="575" t="e">
        <v>#REF!</v>
      </c>
      <c r="AC94" s="574" t="e">
        <v>#REF!</v>
      </c>
      <c r="AD94" s="575" t="e">
        <v>#REF!</v>
      </c>
      <c r="AE94" s="574" t="e">
        <v>#REF!</v>
      </c>
      <c r="AF94" s="575" t="e">
        <v>#REF!</v>
      </c>
      <c r="AG94" s="574" t="e">
        <v>#REF!</v>
      </c>
      <c r="AH94" s="573" t="e">
        <v>#REF!</v>
      </c>
      <c r="AI94" s="573" t="e">
        <v>#REF!</v>
      </c>
      <c r="AJ94" s="573" t="e">
        <v>#REF!</v>
      </c>
      <c r="AK94" s="575" t="e">
        <v>#REF!</v>
      </c>
      <c r="AL94" s="576" t="e">
        <v>#REF!</v>
      </c>
      <c r="AM94" s="503"/>
      <c r="AN94" s="758"/>
      <c r="AO94" s="758"/>
      <c r="AP94" s="503"/>
      <c r="AQ94" s="503"/>
      <c r="AR94" s="503"/>
      <c r="AS94" s="503"/>
    </row>
    <row r="95" spans="2:45" ht="21.95" customHeight="1">
      <c r="B95" s="555"/>
      <c r="C95" s="556" t="s">
        <v>160</v>
      </c>
      <c r="D95" s="555" t="s">
        <v>582</v>
      </c>
      <c r="E95" s="565" t="s">
        <v>726</v>
      </c>
      <c r="F95" s="565" t="s">
        <v>726</v>
      </c>
      <c r="G95" s="579"/>
      <c r="H95" s="600" t="s">
        <v>582</v>
      </c>
      <c r="I95" s="555"/>
      <c r="J95" s="555"/>
      <c r="K95" s="583"/>
      <c r="L95" s="583"/>
      <c r="M95" s="555"/>
      <c r="N95" s="601"/>
      <c r="O95" s="642"/>
      <c r="P95" s="585"/>
      <c r="Q95" s="586"/>
      <c r="R95" s="587"/>
      <c r="S95" s="588"/>
      <c r="T95" s="589"/>
      <c r="U95" s="590"/>
      <c r="V95" s="588"/>
      <c r="W95" s="589"/>
      <c r="X95" s="590"/>
      <c r="Y95" s="588"/>
      <c r="Z95" s="588"/>
      <c r="AA95" s="588"/>
      <c r="AB95" s="589"/>
      <c r="AC95" s="590"/>
      <c r="AD95" s="589"/>
      <c r="AE95" s="590"/>
      <c r="AF95" s="589"/>
      <c r="AG95" s="590"/>
      <c r="AH95" s="588"/>
      <c r="AI95" s="588"/>
      <c r="AJ95" s="588"/>
      <c r="AK95" s="589"/>
      <c r="AL95" s="591"/>
      <c r="AM95" s="503"/>
      <c r="AN95" s="758"/>
      <c r="AO95" s="758"/>
      <c r="AP95" s="503"/>
      <c r="AQ95" s="503"/>
      <c r="AR95" s="503"/>
      <c r="AS95" s="503"/>
    </row>
    <row r="96" spans="2:45" ht="21.95" customHeight="1">
      <c r="B96" s="564" t="s">
        <v>849</v>
      </c>
      <c r="C96" s="565" t="s">
        <v>160</v>
      </c>
      <c r="D96" s="540" t="s">
        <v>604</v>
      </c>
      <c r="E96" s="565">
        <v>9</v>
      </c>
      <c r="F96" s="565" t="s">
        <v>160</v>
      </c>
      <c r="G96" s="566" t="s">
        <v>726</v>
      </c>
      <c r="H96" s="606"/>
      <c r="I96" s="540" t="str">
        <f>IF(B96="",D96,HYPERLINK("#'"&amp;B96&amp;"'!a1",D96))</f>
        <v>New Student Centers</v>
      </c>
      <c r="J96" s="569" t="s">
        <v>160</v>
      </c>
      <c r="K96" s="569" t="s">
        <v>735</v>
      </c>
      <c r="L96" s="570" t="s">
        <v>850</v>
      </c>
      <c r="M96" s="571">
        <v>77500</v>
      </c>
      <c r="N96" s="572">
        <v>256.8718896850695</v>
      </c>
      <c r="O96" s="573"/>
      <c r="P96" s="574" t="e">
        <v>#DIV/0!</v>
      </c>
      <c r="Q96" s="575" t="e">
        <v>#DIV/0!</v>
      </c>
      <c r="R96" s="574" t="e">
        <v>#DIV/0!</v>
      </c>
      <c r="S96" s="573" t="e">
        <v>#DIV/0!</v>
      </c>
      <c r="T96" s="575" t="e">
        <v>#DIV/0!</v>
      </c>
      <c r="U96" s="574" t="e">
        <v>#DIV/0!</v>
      </c>
      <c r="V96" s="573" t="e">
        <v>#DIV/0!</v>
      </c>
      <c r="W96" s="575" t="e">
        <v>#DIV/0!</v>
      </c>
      <c r="X96" s="574" t="e">
        <v>#DIV/0!</v>
      </c>
      <c r="Y96" s="573" t="e">
        <v>#DIV/0!</v>
      </c>
      <c r="Z96" s="573" t="e">
        <v>#DIV/0!</v>
      </c>
      <c r="AA96" s="573" t="e">
        <v>#DIV/0!</v>
      </c>
      <c r="AB96" s="575" t="e">
        <v>#DIV/0!</v>
      </c>
      <c r="AC96" s="574" t="e">
        <v>#DIV/0!</v>
      </c>
      <c r="AD96" s="575" t="e">
        <v>#DIV/0!</v>
      </c>
      <c r="AE96" s="574" t="e">
        <v>#DIV/0!</v>
      </c>
      <c r="AF96" s="575" t="e">
        <v>#DIV/0!</v>
      </c>
      <c r="AG96" s="574" t="e">
        <v>#DIV/0!</v>
      </c>
      <c r="AH96" s="573" t="e">
        <v>#DIV/0!</v>
      </c>
      <c r="AI96" s="573" t="e">
        <v>#DIV/0!</v>
      </c>
      <c r="AJ96" s="573" t="e">
        <v>#DIV/0!</v>
      </c>
      <c r="AK96" s="575" t="e">
        <v>#DIV/0!</v>
      </c>
      <c r="AL96" s="576" t="e">
        <v>#DIV/0!</v>
      </c>
      <c r="AM96" s="503"/>
      <c r="AN96" s="758"/>
      <c r="AO96" s="758"/>
      <c r="AP96" s="503"/>
      <c r="AQ96" s="503"/>
      <c r="AR96" s="503"/>
      <c r="AS96" s="503"/>
    </row>
    <row r="97" spans="2:45" ht="21.95" customHeight="1">
      <c r="B97" s="564" t="s">
        <v>621</v>
      </c>
      <c r="C97" s="565" t="s">
        <v>160</v>
      </c>
      <c r="D97" s="540" t="s">
        <v>621</v>
      </c>
      <c r="E97" s="565">
        <v>3</v>
      </c>
      <c r="F97" s="565" t="s">
        <v>160</v>
      </c>
      <c r="G97" s="566" t="s">
        <v>726</v>
      </c>
      <c r="H97" s="606"/>
      <c r="I97" s="540" t="str">
        <f>IF(B97="",D97,HYPERLINK("#'"&amp;B97&amp;"'!a1",D97))</f>
        <v>Ren Student Centers</v>
      </c>
      <c r="J97" s="569" t="s">
        <v>160</v>
      </c>
      <c r="K97" s="569" t="s">
        <v>735</v>
      </c>
      <c r="L97" s="570" t="s">
        <v>851</v>
      </c>
      <c r="M97" s="571">
        <v>44930</v>
      </c>
      <c r="N97" s="572">
        <v>157.20510300334558</v>
      </c>
      <c r="O97" s="573"/>
      <c r="P97" s="574" t="e">
        <v>#DIV/0!</v>
      </c>
      <c r="Q97" s="575" t="e">
        <v>#DIV/0!</v>
      </c>
      <c r="R97" s="574" t="e">
        <v>#DIV/0!</v>
      </c>
      <c r="S97" s="573" t="e">
        <v>#DIV/0!</v>
      </c>
      <c r="T97" s="575" t="e">
        <v>#DIV/0!</v>
      </c>
      <c r="U97" s="574" t="e">
        <v>#DIV/0!</v>
      </c>
      <c r="V97" s="573" t="e">
        <v>#DIV/0!</v>
      </c>
      <c r="W97" s="575" t="e">
        <v>#DIV/0!</v>
      </c>
      <c r="X97" s="574" t="e">
        <v>#DIV/0!</v>
      </c>
      <c r="Y97" s="573" t="e">
        <v>#DIV/0!</v>
      </c>
      <c r="Z97" s="573" t="e">
        <v>#DIV/0!</v>
      </c>
      <c r="AA97" s="573" t="e">
        <v>#DIV/0!</v>
      </c>
      <c r="AB97" s="575" t="e">
        <v>#DIV/0!</v>
      </c>
      <c r="AC97" s="574" t="e">
        <v>#DIV/0!</v>
      </c>
      <c r="AD97" s="575" t="e">
        <v>#DIV/0!</v>
      </c>
      <c r="AE97" s="574" t="e">
        <v>#DIV/0!</v>
      </c>
      <c r="AF97" s="575" t="e">
        <v>#DIV/0!</v>
      </c>
      <c r="AG97" s="574" t="e">
        <v>#DIV/0!</v>
      </c>
      <c r="AH97" s="573" t="e">
        <v>#DIV/0!</v>
      </c>
      <c r="AI97" s="573" t="e">
        <v>#DIV/0!</v>
      </c>
      <c r="AJ97" s="573" t="e">
        <v>#DIV/0!</v>
      </c>
      <c r="AK97" s="575" t="e">
        <v>#DIV/0!</v>
      </c>
      <c r="AL97" s="576" t="e">
        <v>#DIV/0!</v>
      </c>
      <c r="AM97" s="503"/>
      <c r="AN97" s="758"/>
      <c r="AO97" s="758"/>
      <c r="AP97" s="503"/>
      <c r="AQ97" s="503"/>
      <c r="AR97" s="503"/>
      <c r="AS97" s="503"/>
    </row>
    <row r="98" spans="2:45" ht="21.95" customHeight="1">
      <c r="B98" s="603"/>
      <c r="C98" s="599" t="s">
        <v>160</v>
      </c>
      <c r="D98" s="603" t="s">
        <v>852</v>
      </c>
      <c r="E98" s="565" t="s">
        <v>726</v>
      </c>
      <c r="F98" s="565" t="s">
        <v>726</v>
      </c>
      <c r="G98" s="604"/>
      <c r="H98" s="600" t="s">
        <v>852</v>
      </c>
      <c r="I98" s="603"/>
      <c r="J98" s="555"/>
      <c r="K98" s="583"/>
      <c r="L98" s="583"/>
      <c r="M98" s="555"/>
      <c r="N98" s="601"/>
      <c r="O98" s="642"/>
      <c r="P98" s="585"/>
      <c r="Q98" s="586"/>
      <c r="R98" s="587"/>
      <c r="S98" s="588"/>
      <c r="T98" s="589"/>
      <c r="U98" s="590"/>
      <c r="V98" s="588"/>
      <c r="W98" s="589"/>
      <c r="X98" s="590"/>
      <c r="Y98" s="588"/>
      <c r="Z98" s="588"/>
      <c r="AA98" s="588"/>
      <c r="AB98" s="589"/>
      <c r="AC98" s="590"/>
      <c r="AD98" s="589"/>
      <c r="AE98" s="590"/>
      <c r="AF98" s="589"/>
      <c r="AG98" s="590"/>
      <c r="AH98" s="588"/>
      <c r="AI98" s="588"/>
      <c r="AJ98" s="588"/>
      <c r="AK98" s="589"/>
      <c r="AL98" s="591"/>
      <c r="AM98" s="503"/>
      <c r="AN98" s="758"/>
      <c r="AO98" s="758"/>
      <c r="AP98" s="503"/>
      <c r="AQ98" s="503"/>
      <c r="AR98" s="503"/>
      <c r="AS98" s="503"/>
    </row>
    <row r="99" spans="2:45" ht="21.95" customHeight="1">
      <c r="B99" s="564" t="s">
        <v>853</v>
      </c>
      <c r="C99" s="565" t="s">
        <v>160</v>
      </c>
      <c r="D99" s="540" t="s">
        <v>605</v>
      </c>
      <c r="E99" s="565">
        <v>6</v>
      </c>
      <c r="F99" s="565" t="s">
        <v>160</v>
      </c>
      <c r="G99" s="566" t="s">
        <v>726</v>
      </c>
      <c r="H99" s="606"/>
      <c r="I99" s="540" t="str">
        <f t="shared" ref="I99:I105" si="5">IF(B99="",D99,HYPERLINK("#'"&amp;B99&amp;"'!a1",D99))</f>
        <v>New Theater</v>
      </c>
      <c r="J99" s="569" t="s">
        <v>160</v>
      </c>
      <c r="K99" s="569" t="s">
        <v>735</v>
      </c>
      <c r="L99" s="570" t="s">
        <v>854</v>
      </c>
      <c r="M99" s="571">
        <v>21119.5</v>
      </c>
      <c r="N99" s="572">
        <v>738.51481084817965</v>
      </c>
      <c r="O99" s="573"/>
      <c r="P99" s="574" t="e">
        <v>#DIV/0!</v>
      </c>
      <c r="Q99" s="575" t="e">
        <v>#DIV/0!</v>
      </c>
      <c r="R99" s="574" t="e">
        <v>#DIV/0!</v>
      </c>
      <c r="S99" s="573" t="e">
        <v>#DIV/0!</v>
      </c>
      <c r="T99" s="575" t="e">
        <v>#DIV/0!</v>
      </c>
      <c r="U99" s="574" t="e">
        <v>#DIV/0!</v>
      </c>
      <c r="V99" s="573" t="e">
        <v>#DIV/0!</v>
      </c>
      <c r="W99" s="575" t="e">
        <v>#DIV/0!</v>
      </c>
      <c r="X99" s="574" t="e">
        <v>#DIV/0!</v>
      </c>
      <c r="Y99" s="573" t="e">
        <v>#DIV/0!</v>
      </c>
      <c r="Z99" s="573" t="e">
        <v>#DIV/0!</v>
      </c>
      <c r="AA99" s="573" t="e">
        <v>#DIV/0!</v>
      </c>
      <c r="AB99" s="575" t="e">
        <v>#DIV/0!</v>
      </c>
      <c r="AC99" s="574" t="e">
        <v>#DIV/0!</v>
      </c>
      <c r="AD99" s="575" t="e">
        <v>#DIV/0!</v>
      </c>
      <c r="AE99" s="574" t="e">
        <v>#DIV/0!</v>
      </c>
      <c r="AF99" s="575" t="e">
        <v>#DIV/0!</v>
      </c>
      <c r="AG99" s="574" t="e">
        <v>#DIV/0!</v>
      </c>
      <c r="AH99" s="573" t="e">
        <v>#DIV/0!</v>
      </c>
      <c r="AI99" s="573" t="e">
        <v>#DIV/0!</v>
      </c>
      <c r="AJ99" s="573" t="e">
        <v>#DIV/0!</v>
      </c>
      <c r="AK99" s="575" t="e">
        <v>#DIV/0!</v>
      </c>
      <c r="AL99" s="576" t="e">
        <v>#DIV/0!</v>
      </c>
      <c r="AM99" s="503"/>
      <c r="AN99" s="758"/>
      <c r="AO99" s="758"/>
      <c r="AP99" s="503"/>
      <c r="AQ99" s="503"/>
      <c r="AR99" s="503"/>
      <c r="AS99" s="503"/>
    </row>
    <row r="100" spans="2:45" ht="21.95" hidden="1" customHeight="1">
      <c r="B100" s="564" t="s">
        <v>855</v>
      </c>
      <c r="C100" s="565" t="s">
        <v>284</v>
      </c>
      <c r="D100" s="540" t="s">
        <v>622</v>
      </c>
      <c r="E100" s="565">
        <v>1</v>
      </c>
      <c r="F100" s="565" t="s">
        <v>160</v>
      </c>
      <c r="G100" s="566" t="s">
        <v>742</v>
      </c>
      <c r="H100" s="606"/>
      <c r="I100" s="540" t="str">
        <f t="shared" si="5"/>
        <v>Ren. Theater - L</v>
      </c>
      <c r="J100" s="569" t="s">
        <v>160</v>
      </c>
      <c r="K100" s="569" t="s">
        <v>735</v>
      </c>
      <c r="L100" s="570" t="s">
        <v>856</v>
      </c>
      <c r="M100" s="571">
        <v>40000</v>
      </c>
      <c r="N100" s="572">
        <v>44.989624923664124</v>
      </c>
      <c r="O100" s="573"/>
      <c r="P100" s="574" t="e">
        <v>#DIV/0!</v>
      </c>
      <c r="Q100" s="575" t="e">
        <v>#DIV/0!</v>
      </c>
      <c r="R100" s="574" t="e">
        <v>#DIV/0!</v>
      </c>
      <c r="S100" s="573" t="e">
        <v>#DIV/0!</v>
      </c>
      <c r="T100" s="575" t="e">
        <v>#DIV/0!</v>
      </c>
      <c r="U100" s="574" t="e">
        <v>#DIV/0!</v>
      </c>
      <c r="V100" s="573" t="e">
        <v>#DIV/0!</v>
      </c>
      <c r="W100" s="575" t="e">
        <v>#DIV/0!</v>
      </c>
      <c r="X100" s="574" t="e">
        <v>#DIV/0!</v>
      </c>
      <c r="Y100" s="573" t="e">
        <v>#DIV/0!</v>
      </c>
      <c r="Z100" s="573" t="e">
        <v>#DIV/0!</v>
      </c>
      <c r="AA100" s="573" t="e">
        <v>#DIV/0!</v>
      </c>
      <c r="AB100" s="575" t="e">
        <v>#DIV/0!</v>
      </c>
      <c r="AC100" s="574" t="e">
        <v>#DIV/0!</v>
      </c>
      <c r="AD100" s="575" t="e">
        <v>#DIV/0!</v>
      </c>
      <c r="AE100" s="574" t="e">
        <v>#DIV/0!</v>
      </c>
      <c r="AF100" s="575" t="e">
        <v>#DIV/0!</v>
      </c>
      <c r="AG100" s="574" t="e">
        <v>#DIV/0!</v>
      </c>
      <c r="AH100" s="573" t="e">
        <v>#DIV/0!</v>
      </c>
      <c r="AI100" s="573" t="e">
        <v>#DIV/0!</v>
      </c>
      <c r="AJ100" s="573" t="e">
        <v>#DIV/0!</v>
      </c>
      <c r="AK100" s="575" t="e">
        <v>#DIV/0!</v>
      </c>
      <c r="AL100" s="576" t="e">
        <v>#DIV/0!</v>
      </c>
      <c r="AM100" s="503"/>
      <c r="AN100" s="758"/>
      <c r="AO100" s="758"/>
      <c r="AP100" s="503"/>
      <c r="AQ100" s="503"/>
      <c r="AR100" s="503"/>
      <c r="AS100" s="503"/>
    </row>
    <row r="101" spans="2:45" ht="21.95" customHeight="1">
      <c r="B101" s="564" t="s">
        <v>857</v>
      </c>
      <c r="C101" s="565" t="s">
        <v>160</v>
      </c>
      <c r="D101" s="540" t="s">
        <v>634</v>
      </c>
      <c r="E101" s="565">
        <v>2</v>
      </c>
      <c r="F101" s="565" t="s">
        <v>160</v>
      </c>
      <c r="G101" s="566" t="s">
        <v>726</v>
      </c>
      <c r="H101" s="606"/>
      <c r="I101" s="540" t="str">
        <f t="shared" si="5"/>
        <v>Ren. Theater - M</v>
      </c>
      <c r="J101" s="569" t="s">
        <v>160</v>
      </c>
      <c r="K101" s="569" t="s">
        <v>735</v>
      </c>
      <c r="L101" s="570" t="s">
        <v>858</v>
      </c>
      <c r="M101" s="571">
        <v>33800</v>
      </c>
      <c r="N101" s="572">
        <v>141.77112302682593</v>
      </c>
      <c r="O101" s="573"/>
      <c r="P101" s="574" t="e">
        <v>#DIV/0!</v>
      </c>
      <c r="Q101" s="575" t="e">
        <v>#DIV/0!</v>
      </c>
      <c r="R101" s="574" t="e">
        <v>#DIV/0!</v>
      </c>
      <c r="S101" s="573" t="e">
        <v>#DIV/0!</v>
      </c>
      <c r="T101" s="575" t="e">
        <v>#DIV/0!</v>
      </c>
      <c r="U101" s="574" t="e">
        <v>#DIV/0!</v>
      </c>
      <c r="V101" s="573" t="e">
        <v>#DIV/0!</v>
      </c>
      <c r="W101" s="575" t="e">
        <v>#DIV/0!</v>
      </c>
      <c r="X101" s="574" t="e">
        <v>#DIV/0!</v>
      </c>
      <c r="Y101" s="573" t="e">
        <v>#DIV/0!</v>
      </c>
      <c r="Z101" s="573" t="e">
        <v>#DIV/0!</v>
      </c>
      <c r="AA101" s="573" t="e">
        <v>#DIV/0!</v>
      </c>
      <c r="AB101" s="575" t="e">
        <v>#DIV/0!</v>
      </c>
      <c r="AC101" s="574" t="e">
        <v>#DIV/0!</v>
      </c>
      <c r="AD101" s="575" t="e">
        <v>#DIV/0!</v>
      </c>
      <c r="AE101" s="574" t="e">
        <v>#DIV/0!</v>
      </c>
      <c r="AF101" s="575" t="e">
        <v>#DIV/0!</v>
      </c>
      <c r="AG101" s="574" t="e">
        <v>#DIV/0!</v>
      </c>
      <c r="AH101" s="573" t="e">
        <v>#DIV/0!</v>
      </c>
      <c r="AI101" s="573" t="e">
        <v>#DIV/0!</v>
      </c>
      <c r="AJ101" s="573" t="e">
        <v>#DIV/0!</v>
      </c>
      <c r="AK101" s="575" t="e">
        <v>#DIV/0!</v>
      </c>
      <c r="AL101" s="576" t="e">
        <v>#DIV/0!</v>
      </c>
      <c r="AM101" s="503"/>
      <c r="AN101" s="758"/>
      <c r="AO101" s="758"/>
      <c r="AP101" s="503"/>
      <c r="AQ101" s="503"/>
      <c r="AR101" s="503"/>
      <c r="AS101" s="503"/>
    </row>
    <row r="102" spans="2:45" ht="21.95" customHeight="1">
      <c r="B102" s="564" t="s">
        <v>859</v>
      </c>
      <c r="C102" s="565" t="s">
        <v>160</v>
      </c>
      <c r="D102" s="540" t="s">
        <v>640</v>
      </c>
      <c r="E102" s="565">
        <v>4</v>
      </c>
      <c r="F102" s="565" t="s">
        <v>160</v>
      </c>
      <c r="G102" s="566" t="s">
        <v>726</v>
      </c>
      <c r="H102" s="606"/>
      <c r="I102" s="540" t="str">
        <f t="shared" si="5"/>
        <v>Ren. Theater - H</v>
      </c>
      <c r="J102" s="569" t="s">
        <v>160</v>
      </c>
      <c r="K102" s="569" t="s">
        <v>735</v>
      </c>
      <c r="L102" s="570" t="s">
        <v>860</v>
      </c>
      <c r="M102" s="571">
        <v>38264.5</v>
      </c>
      <c r="N102" s="572">
        <v>338.01087670008906</v>
      </c>
      <c r="O102" s="573"/>
      <c r="P102" s="574" t="e">
        <v>#DIV/0!</v>
      </c>
      <c r="Q102" s="575" t="e">
        <v>#DIV/0!</v>
      </c>
      <c r="R102" s="574" t="e">
        <v>#DIV/0!</v>
      </c>
      <c r="S102" s="573" t="e">
        <v>#DIV/0!</v>
      </c>
      <c r="T102" s="575" t="e">
        <v>#DIV/0!</v>
      </c>
      <c r="U102" s="574" t="e">
        <v>#DIV/0!</v>
      </c>
      <c r="V102" s="573" t="e">
        <v>#DIV/0!</v>
      </c>
      <c r="W102" s="575" t="e">
        <v>#DIV/0!</v>
      </c>
      <c r="X102" s="574" t="e">
        <v>#DIV/0!</v>
      </c>
      <c r="Y102" s="573" t="e">
        <v>#DIV/0!</v>
      </c>
      <c r="Z102" s="573" t="e">
        <v>#DIV/0!</v>
      </c>
      <c r="AA102" s="573" t="e">
        <v>#DIV/0!</v>
      </c>
      <c r="AB102" s="575" t="e">
        <v>#DIV/0!</v>
      </c>
      <c r="AC102" s="574" t="e">
        <v>#DIV/0!</v>
      </c>
      <c r="AD102" s="575" t="e">
        <v>#DIV/0!</v>
      </c>
      <c r="AE102" s="574" t="e">
        <v>#DIV/0!</v>
      </c>
      <c r="AF102" s="575" t="e">
        <v>#DIV/0!</v>
      </c>
      <c r="AG102" s="574" t="e">
        <v>#DIV/0!</v>
      </c>
      <c r="AH102" s="573" t="e">
        <v>#DIV/0!</v>
      </c>
      <c r="AI102" s="573" t="e">
        <v>#DIV/0!</v>
      </c>
      <c r="AJ102" s="573" t="e">
        <v>#DIV/0!</v>
      </c>
      <c r="AK102" s="575" t="e">
        <v>#DIV/0!</v>
      </c>
      <c r="AL102" s="576" t="e">
        <v>#DIV/0!</v>
      </c>
      <c r="AM102" s="503"/>
      <c r="AN102" s="758"/>
      <c r="AO102" s="758"/>
      <c r="AP102" s="503"/>
      <c r="AQ102" s="503"/>
      <c r="AR102" s="503"/>
      <c r="AS102" s="503"/>
    </row>
    <row r="103" spans="2:45" ht="21.95" customHeight="1">
      <c r="B103" s="564" t="s">
        <v>861</v>
      </c>
      <c r="C103" s="565" t="s">
        <v>160</v>
      </c>
      <c r="D103" s="540" t="s">
        <v>644</v>
      </c>
      <c r="E103" s="565">
        <v>5</v>
      </c>
      <c r="F103" s="565" t="s">
        <v>160</v>
      </c>
      <c r="G103" s="566" t="s">
        <v>726</v>
      </c>
      <c r="H103" s="606"/>
      <c r="I103" s="540" t="str">
        <f t="shared" si="5"/>
        <v>Fine Arts Center</v>
      </c>
      <c r="J103" s="569" t="s">
        <v>160</v>
      </c>
      <c r="K103" s="569" t="s">
        <v>735</v>
      </c>
      <c r="L103" s="570" t="s">
        <v>862</v>
      </c>
      <c r="M103" s="571">
        <v>60000</v>
      </c>
      <c r="N103" s="639">
        <v>521.50680529801321</v>
      </c>
      <c r="O103" s="573"/>
      <c r="P103" s="574" t="e">
        <v>#DIV/0!</v>
      </c>
      <c r="Q103" s="575" t="e">
        <v>#DIV/0!</v>
      </c>
      <c r="R103" s="574" t="e">
        <v>#DIV/0!</v>
      </c>
      <c r="S103" s="573" t="e">
        <v>#DIV/0!</v>
      </c>
      <c r="T103" s="575" t="e">
        <v>#DIV/0!</v>
      </c>
      <c r="U103" s="574" t="e">
        <v>#DIV/0!</v>
      </c>
      <c r="V103" s="573" t="e">
        <v>#DIV/0!</v>
      </c>
      <c r="W103" s="575" t="e">
        <v>#DIV/0!</v>
      </c>
      <c r="X103" s="574" t="e">
        <v>#DIV/0!</v>
      </c>
      <c r="Y103" s="573" t="e">
        <v>#DIV/0!</v>
      </c>
      <c r="Z103" s="573" t="e">
        <v>#DIV/0!</v>
      </c>
      <c r="AA103" s="573" t="e">
        <v>#DIV/0!</v>
      </c>
      <c r="AB103" s="575" t="e">
        <v>#DIV/0!</v>
      </c>
      <c r="AC103" s="574" t="e">
        <v>#DIV/0!</v>
      </c>
      <c r="AD103" s="575" t="e">
        <v>#DIV/0!</v>
      </c>
      <c r="AE103" s="574" t="e">
        <v>#DIV/0!</v>
      </c>
      <c r="AF103" s="575" t="e">
        <v>#DIV/0!</v>
      </c>
      <c r="AG103" s="574" t="e">
        <v>#DIV/0!</v>
      </c>
      <c r="AH103" s="573" t="e">
        <v>#DIV/0!</v>
      </c>
      <c r="AI103" s="573" t="e">
        <v>#DIV/0!</v>
      </c>
      <c r="AJ103" s="573" t="e">
        <v>#DIV/0!</v>
      </c>
      <c r="AK103" s="575" t="e">
        <v>#DIV/0!</v>
      </c>
      <c r="AL103" s="576" t="e">
        <v>#DIV/0!</v>
      </c>
      <c r="AM103" s="503"/>
      <c r="AN103" s="758"/>
      <c r="AO103" s="758"/>
      <c r="AP103" s="503"/>
      <c r="AQ103" s="503"/>
      <c r="AR103" s="503"/>
      <c r="AS103" s="503"/>
    </row>
    <row r="104" spans="2:45" ht="21.95" customHeight="1" thickBot="1">
      <c r="B104" s="564" t="s">
        <v>863</v>
      </c>
      <c r="C104" s="565" t="s">
        <v>160</v>
      </c>
      <c r="D104" s="540" t="s">
        <v>648</v>
      </c>
      <c r="E104" s="565">
        <v>6</v>
      </c>
      <c r="F104" s="565" t="s">
        <v>160</v>
      </c>
      <c r="G104" s="566" t="s">
        <v>726</v>
      </c>
      <c r="H104" s="606"/>
      <c r="I104" s="540" t="str">
        <f t="shared" si="5"/>
        <v>Performing Arts Center</v>
      </c>
      <c r="J104" s="569" t="s">
        <v>160</v>
      </c>
      <c r="K104" s="569" t="s">
        <v>735</v>
      </c>
      <c r="L104" s="570" t="s">
        <v>864</v>
      </c>
      <c r="M104" s="571">
        <v>83027.5</v>
      </c>
      <c r="N104" s="639">
        <v>830.98198709403755</v>
      </c>
      <c r="O104" s="573"/>
      <c r="P104" s="574" t="e">
        <v>#DIV/0!</v>
      </c>
      <c r="Q104" s="575" t="e">
        <v>#DIV/0!</v>
      </c>
      <c r="R104" s="574" t="e">
        <v>#DIV/0!</v>
      </c>
      <c r="S104" s="573" t="e">
        <v>#DIV/0!</v>
      </c>
      <c r="T104" s="575" t="e">
        <v>#DIV/0!</v>
      </c>
      <c r="U104" s="574" t="e">
        <v>#DIV/0!</v>
      </c>
      <c r="V104" s="573" t="e">
        <v>#DIV/0!</v>
      </c>
      <c r="W104" s="575" t="e">
        <v>#DIV/0!</v>
      </c>
      <c r="X104" s="574" t="e">
        <v>#DIV/0!</v>
      </c>
      <c r="Y104" s="573" t="e">
        <v>#DIV/0!</v>
      </c>
      <c r="Z104" s="573" t="e">
        <v>#DIV/0!</v>
      </c>
      <c r="AA104" s="573" t="e">
        <v>#DIV/0!</v>
      </c>
      <c r="AB104" s="575" t="e">
        <v>#DIV/0!</v>
      </c>
      <c r="AC104" s="574" t="e">
        <v>#DIV/0!</v>
      </c>
      <c r="AD104" s="575" t="e">
        <v>#DIV/0!</v>
      </c>
      <c r="AE104" s="574" t="e">
        <v>#DIV/0!</v>
      </c>
      <c r="AF104" s="575" t="e">
        <v>#DIV/0!</v>
      </c>
      <c r="AG104" s="574" t="e">
        <v>#DIV/0!</v>
      </c>
      <c r="AH104" s="573" t="e">
        <v>#DIV/0!</v>
      </c>
      <c r="AI104" s="573" t="e">
        <v>#DIV/0!</v>
      </c>
      <c r="AJ104" s="573" t="e">
        <v>#DIV/0!</v>
      </c>
      <c r="AK104" s="575" t="e">
        <v>#DIV/0!</v>
      </c>
      <c r="AL104" s="576" t="e">
        <v>#DIV/0!</v>
      </c>
      <c r="AM104" s="503"/>
      <c r="AN104" s="758"/>
      <c r="AO104" s="758"/>
      <c r="AP104" s="503"/>
      <c r="AQ104" s="503"/>
      <c r="AR104" s="503"/>
      <c r="AS104" s="503"/>
    </row>
    <row r="105" spans="2:45" ht="21.95" hidden="1" customHeight="1" thickBot="1">
      <c r="B105" s="564"/>
      <c r="C105" s="565" t="s">
        <v>726</v>
      </c>
      <c r="D105" s="540" t="s">
        <v>726</v>
      </c>
      <c r="E105" s="565" t="s">
        <v>726</v>
      </c>
      <c r="F105" s="565" t="s">
        <v>726</v>
      </c>
      <c r="G105" s="566" t="s">
        <v>726</v>
      </c>
      <c r="H105" s="567"/>
      <c r="I105" s="540" t="str">
        <f t="shared" si="5"/>
        <v/>
      </c>
      <c r="J105" s="569" t="s">
        <v>761</v>
      </c>
      <c r="K105" s="569" t="s">
        <v>726</v>
      </c>
      <c r="L105" s="570" t="s">
        <v>726</v>
      </c>
      <c r="M105" s="571" t="s">
        <v>726</v>
      </c>
      <c r="N105" s="572" t="s">
        <v>761</v>
      </c>
      <c r="O105" s="526"/>
      <c r="P105" s="574" t="e">
        <v>#DIV/0!</v>
      </c>
      <c r="Q105" s="575" t="e">
        <v>#DIV/0!</v>
      </c>
      <c r="R105" s="574" t="e">
        <v>#DIV/0!</v>
      </c>
      <c r="S105" s="573" t="e">
        <v>#DIV/0!</v>
      </c>
      <c r="T105" s="575" t="e">
        <v>#DIV/0!</v>
      </c>
      <c r="U105" s="574" t="e">
        <v>#DIV/0!</v>
      </c>
      <c r="V105" s="573" t="e">
        <v>#DIV/0!</v>
      </c>
      <c r="W105" s="575" t="e">
        <v>#DIV/0!</v>
      </c>
      <c r="X105" s="574" t="e">
        <v>#DIV/0!</v>
      </c>
      <c r="Y105" s="573" t="e">
        <v>#DIV/0!</v>
      </c>
      <c r="Z105" s="573" t="e">
        <v>#DIV/0!</v>
      </c>
      <c r="AA105" s="573" t="e">
        <v>#DIV/0!</v>
      </c>
      <c r="AB105" s="575" t="e">
        <v>#DIV/0!</v>
      </c>
      <c r="AC105" s="574" t="e">
        <v>#DIV/0!</v>
      </c>
      <c r="AD105" s="575" t="e">
        <v>#DIV/0!</v>
      </c>
      <c r="AE105" s="574" t="e">
        <v>#DIV/0!</v>
      </c>
      <c r="AF105" s="575" t="e">
        <v>#DIV/0!</v>
      </c>
      <c r="AG105" s="574" t="e">
        <v>#DIV/0!</v>
      </c>
      <c r="AH105" s="573" t="e">
        <v>#DIV/0!</v>
      </c>
      <c r="AI105" s="573" t="e">
        <v>#DIV/0!</v>
      </c>
      <c r="AJ105" s="573" t="e">
        <v>#DIV/0!</v>
      </c>
      <c r="AK105" s="575" t="e">
        <v>#DIV/0!</v>
      </c>
      <c r="AL105" s="576" t="e">
        <v>#DIV/0!</v>
      </c>
      <c r="AM105" s="503"/>
      <c r="AN105" s="758"/>
      <c r="AO105" s="758"/>
      <c r="AP105" s="503"/>
      <c r="AQ105" s="503"/>
      <c r="AR105" s="503"/>
      <c r="AS105" s="503"/>
    </row>
    <row r="106" spans="2:45" ht="21.95" customHeight="1" thickTop="1">
      <c r="B106" s="603"/>
      <c r="C106" s="599" t="s">
        <v>160</v>
      </c>
      <c r="D106" s="603" t="s">
        <v>865</v>
      </c>
      <c r="E106" s="565" t="s">
        <v>726</v>
      </c>
      <c r="F106" s="565" t="s">
        <v>726</v>
      </c>
      <c r="G106" s="604"/>
      <c r="H106" s="580" t="s">
        <v>866</v>
      </c>
      <c r="I106" s="605"/>
      <c r="J106" s="581"/>
      <c r="K106" s="582"/>
      <c r="L106" s="583"/>
      <c r="M106" s="581"/>
      <c r="N106" s="584"/>
      <c r="O106" s="642"/>
      <c r="P106" s="585"/>
      <c r="Q106" s="586"/>
      <c r="R106" s="587"/>
      <c r="S106" s="588"/>
      <c r="T106" s="589"/>
      <c r="U106" s="590"/>
      <c r="V106" s="588"/>
      <c r="W106" s="589"/>
      <c r="X106" s="590"/>
      <c r="Y106" s="588"/>
      <c r="Z106" s="588"/>
      <c r="AA106" s="588"/>
      <c r="AB106" s="589"/>
      <c r="AC106" s="590"/>
      <c r="AD106" s="589"/>
      <c r="AE106" s="590"/>
      <c r="AF106" s="589"/>
      <c r="AG106" s="590"/>
      <c r="AH106" s="588"/>
      <c r="AI106" s="588"/>
      <c r="AJ106" s="588"/>
      <c r="AK106" s="589"/>
      <c r="AL106" s="591"/>
      <c r="AM106" s="503"/>
      <c r="AN106" s="758"/>
      <c r="AO106" s="758"/>
      <c r="AP106" s="503"/>
      <c r="AQ106" s="503"/>
      <c r="AR106" s="503"/>
      <c r="AS106" s="503"/>
    </row>
    <row r="107" spans="2:45" ht="21.95" customHeight="1">
      <c r="B107" s="564" t="s">
        <v>606</v>
      </c>
      <c r="C107" s="565" t="s">
        <v>160</v>
      </c>
      <c r="D107" s="540" t="s">
        <v>606</v>
      </c>
      <c r="E107" s="565">
        <v>2</v>
      </c>
      <c r="F107" s="565" t="s">
        <v>160</v>
      </c>
      <c r="G107" s="566" t="s">
        <v>726</v>
      </c>
      <c r="H107" s="606"/>
      <c r="I107" s="540" t="str">
        <f t="shared" ref="I107:I120" si="6">IF(B107="",D107,HYPERLINK("#'"&amp;B107&amp;"'!a1",D107))</f>
        <v>Shooting Range</v>
      </c>
      <c r="J107" s="569" t="s">
        <v>160</v>
      </c>
      <c r="K107" s="569" t="s">
        <v>735</v>
      </c>
      <c r="L107" s="570" t="s">
        <v>867</v>
      </c>
      <c r="M107" s="571">
        <v>15488</v>
      </c>
      <c r="N107" s="572">
        <v>260.37174891223663</v>
      </c>
      <c r="O107" s="573"/>
      <c r="P107" s="574" t="e">
        <v>#DIV/0!</v>
      </c>
      <c r="Q107" s="575" t="e">
        <v>#DIV/0!</v>
      </c>
      <c r="R107" s="574" t="e">
        <v>#DIV/0!</v>
      </c>
      <c r="S107" s="573" t="e">
        <v>#DIV/0!</v>
      </c>
      <c r="T107" s="575" t="e">
        <v>#DIV/0!</v>
      </c>
      <c r="U107" s="574" t="e">
        <v>#DIV/0!</v>
      </c>
      <c r="V107" s="573" t="e">
        <v>#DIV/0!</v>
      </c>
      <c r="W107" s="575" t="e">
        <v>#DIV/0!</v>
      </c>
      <c r="X107" s="574" t="e">
        <v>#DIV/0!</v>
      </c>
      <c r="Y107" s="573" t="e">
        <v>#DIV/0!</v>
      </c>
      <c r="Z107" s="573" t="e">
        <v>#DIV/0!</v>
      </c>
      <c r="AA107" s="573" t="e">
        <v>#DIV/0!</v>
      </c>
      <c r="AB107" s="575" t="e">
        <v>#DIV/0!</v>
      </c>
      <c r="AC107" s="574" t="e">
        <v>#DIV/0!</v>
      </c>
      <c r="AD107" s="575" t="e">
        <v>#DIV/0!</v>
      </c>
      <c r="AE107" s="574" t="e">
        <v>#DIV/0!</v>
      </c>
      <c r="AF107" s="575" t="e">
        <v>#DIV/0!</v>
      </c>
      <c r="AG107" s="574" t="e">
        <v>#DIV/0!</v>
      </c>
      <c r="AH107" s="573" t="e">
        <v>#DIV/0!</v>
      </c>
      <c r="AI107" s="573" t="e">
        <v>#DIV/0!</v>
      </c>
      <c r="AJ107" s="573" t="e">
        <v>#DIV/0!</v>
      </c>
      <c r="AK107" s="575" t="e">
        <v>#DIV/0!</v>
      </c>
      <c r="AL107" s="576" t="e">
        <v>#DIV/0!</v>
      </c>
      <c r="AM107" s="503"/>
      <c r="AN107" s="758"/>
      <c r="AO107" s="758"/>
      <c r="AP107" s="503"/>
      <c r="AQ107" s="503"/>
      <c r="AR107" s="503"/>
      <c r="AS107" s="503"/>
    </row>
    <row r="108" spans="2:45" ht="21.95" customHeight="1">
      <c r="B108" s="564" t="s">
        <v>623</v>
      </c>
      <c r="C108" s="565" t="s">
        <v>160</v>
      </c>
      <c r="D108" s="540" t="s">
        <v>623</v>
      </c>
      <c r="E108" s="565">
        <v>3</v>
      </c>
      <c r="F108" s="565" t="s">
        <v>160</v>
      </c>
      <c r="G108" s="566" t="s">
        <v>726</v>
      </c>
      <c r="H108" s="606"/>
      <c r="I108" s="540" t="str">
        <f t="shared" si="6"/>
        <v>Oyster Hatcheries</v>
      </c>
      <c r="J108" s="569" t="s">
        <v>160</v>
      </c>
      <c r="K108" s="569" t="s">
        <v>735</v>
      </c>
      <c r="L108" s="570" t="s">
        <v>868</v>
      </c>
      <c r="M108" s="571">
        <v>19693</v>
      </c>
      <c r="N108" s="572">
        <v>1184.4789083363892</v>
      </c>
      <c r="O108" s="573"/>
      <c r="P108" s="574" t="e">
        <v>#DIV/0!</v>
      </c>
      <c r="Q108" s="575" t="e">
        <v>#DIV/0!</v>
      </c>
      <c r="R108" s="574" t="e">
        <v>#DIV/0!</v>
      </c>
      <c r="S108" s="573" t="e">
        <v>#DIV/0!</v>
      </c>
      <c r="T108" s="575" t="e">
        <v>#DIV/0!</v>
      </c>
      <c r="U108" s="574" t="e">
        <v>#DIV/0!</v>
      </c>
      <c r="V108" s="573" t="e">
        <v>#DIV/0!</v>
      </c>
      <c r="W108" s="575" t="e">
        <v>#DIV/0!</v>
      </c>
      <c r="X108" s="574" t="e">
        <v>#DIV/0!</v>
      </c>
      <c r="Y108" s="573" t="e">
        <v>#DIV/0!</v>
      </c>
      <c r="Z108" s="573" t="e">
        <v>#DIV/0!</v>
      </c>
      <c r="AA108" s="573" t="e">
        <v>#DIV/0!</v>
      </c>
      <c r="AB108" s="575" t="e">
        <v>#DIV/0!</v>
      </c>
      <c r="AC108" s="574" t="e">
        <v>#DIV/0!</v>
      </c>
      <c r="AD108" s="575" t="e">
        <v>#DIV/0!</v>
      </c>
      <c r="AE108" s="574" t="e">
        <v>#DIV/0!</v>
      </c>
      <c r="AF108" s="575" t="e">
        <v>#DIV/0!</v>
      </c>
      <c r="AG108" s="574" t="e">
        <v>#DIV/0!</v>
      </c>
      <c r="AH108" s="573" t="e">
        <v>#DIV/0!</v>
      </c>
      <c r="AI108" s="573" t="e">
        <v>#DIV/0!</v>
      </c>
      <c r="AJ108" s="573" t="e">
        <v>#DIV/0!</v>
      </c>
      <c r="AK108" s="575" t="e">
        <v>#DIV/0!</v>
      </c>
      <c r="AL108" s="576" t="e">
        <v>#DIV/0!</v>
      </c>
      <c r="AM108" s="503"/>
      <c r="AN108" s="758"/>
      <c r="AO108" s="758"/>
      <c r="AP108" s="503"/>
      <c r="AQ108" s="503"/>
      <c r="AR108" s="503"/>
      <c r="AS108" s="503"/>
    </row>
    <row r="109" spans="2:45" ht="21.95" customHeight="1">
      <c r="B109" s="564" t="s">
        <v>635</v>
      </c>
      <c r="C109" s="565" t="s">
        <v>160</v>
      </c>
      <c r="D109" s="540" t="s">
        <v>635</v>
      </c>
      <c r="E109" s="565">
        <v>6</v>
      </c>
      <c r="F109" s="565" t="s">
        <v>160</v>
      </c>
      <c r="G109" s="566" t="s">
        <v>726</v>
      </c>
      <c r="H109" s="606"/>
      <c r="I109" s="540" t="str">
        <f t="shared" si="6"/>
        <v>New Police Station</v>
      </c>
      <c r="J109" s="569" t="s">
        <v>160</v>
      </c>
      <c r="K109" s="569" t="s">
        <v>735</v>
      </c>
      <c r="L109" s="570" t="s">
        <v>869</v>
      </c>
      <c r="M109" s="571">
        <v>15700</v>
      </c>
      <c r="N109" s="572">
        <v>399.55224419963747</v>
      </c>
      <c r="O109" s="573"/>
      <c r="P109" s="574" t="e">
        <v>#DIV/0!</v>
      </c>
      <c r="Q109" s="575" t="e">
        <v>#DIV/0!</v>
      </c>
      <c r="R109" s="574" t="e">
        <v>#DIV/0!</v>
      </c>
      <c r="S109" s="573" t="e">
        <v>#DIV/0!</v>
      </c>
      <c r="T109" s="575" t="e">
        <v>#DIV/0!</v>
      </c>
      <c r="U109" s="574" t="e">
        <v>#DIV/0!</v>
      </c>
      <c r="V109" s="573" t="e">
        <v>#DIV/0!</v>
      </c>
      <c r="W109" s="575" t="e">
        <v>#DIV/0!</v>
      </c>
      <c r="X109" s="574" t="e">
        <v>#DIV/0!</v>
      </c>
      <c r="Y109" s="573" t="e">
        <v>#DIV/0!</v>
      </c>
      <c r="Z109" s="573" t="e">
        <v>#DIV/0!</v>
      </c>
      <c r="AA109" s="573" t="e">
        <v>#DIV/0!</v>
      </c>
      <c r="AB109" s="575" t="e">
        <v>#DIV/0!</v>
      </c>
      <c r="AC109" s="574" t="e">
        <v>#DIV/0!</v>
      </c>
      <c r="AD109" s="575" t="e">
        <v>#DIV/0!</v>
      </c>
      <c r="AE109" s="574" t="e">
        <v>#DIV/0!</v>
      </c>
      <c r="AF109" s="575" t="e">
        <v>#DIV/0!</v>
      </c>
      <c r="AG109" s="574" t="e">
        <v>#DIV/0!</v>
      </c>
      <c r="AH109" s="573" t="e">
        <v>#DIV/0!</v>
      </c>
      <c r="AI109" s="573" t="e">
        <v>#DIV/0!</v>
      </c>
      <c r="AJ109" s="573" t="e">
        <v>#DIV/0!</v>
      </c>
      <c r="AK109" s="575" t="e">
        <v>#DIV/0!</v>
      </c>
      <c r="AL109" s="576" t="e">
        <v>#DIV/0!</v>
      </c>
      <c r="AM109" s="503"/>
      <c r="AN109" s="758"/>
      <c r="AO109" s="758"/>
      <c r="AP109" s="503"/>
      <c r="AQ109" s="503"/>
      <c r="AR109" s="503"/>
      <c r="AS109" s="503"/>
    </row>
    <row r="110" spans="2:45" ht="21.95" customHeight="1">
      <c r="B110" s="564" t="s">
        <v>641</v>
      </c>
      <c r="C110" s="565" t="s">
        <v>160</v>
      </c>
      <c r="D110" s="540" t="s">
        <v>641</v>
      </c>
      <c r="E110" s="565">
        <v>6</v>
      </c>
      <c r="F110" s="565" t="s">
        <v>160</v>
      </c>
      <c r="G110" s="566" t="s">
        <v>731</v>
      </c>
      <c r="H110" s="606"/>
      <c r="I110" s="540" t="str">
        <f t="shared" si="6"/>
        <v>Ranger Residence (St. Park)</v>
      </c>
      <c r="J110" s="569" t="s">
        <v>160</v>
      </c>
      <c r="K110" s="569" t="s">
        <v>735</v>
      </c>
      <c r="L110" s="570" t="s">
        <v>870</v>
      </c>
      <c r="M110" s="571">
        <v>1540.5</v>
      </c>
      <c r="N110" s="572">
        <v>344.8351856512495</v>
      </c>
      <c r="O110" s="573"/>
      <c r="P110" s="574" t="e">
        <v>#DIV/0!</v>
      </c>
      <c r="Q110" s="575" t="e">
        <v>#DIV/0!</v>
      </c>
      <c r="R110" s="574" t="e">
        <v>#DIV/0!</v>
      </c>
      <c r="S110" s="573" t="e">
        <v>#DIV/0!</v>
      </c>
      <c r="T110" s="575" t="e">
        <v>#DIV/0!</v>
      </c>
      <c r="U110" s="574" t="e">
        <v>#DIV/0!</v>
      </c>
      <c r="V110" s="573" t="e">
        <v>#DIV/0!</v>
      </c>
      <c r="W110" s="575" t="e">
        <v>#DIV/0!</v>
      </c>
      <c r="X110" s="574" t="e">
        <v>#DIV/0!</v>
      </c>
      <c r="Y110" s="573" t="e">
        <v>#DIV/0!</v>
      </c>
      <c r="Z110" s="573" t="e">
        <v>#DIV/0!</v>
      </c>
      <c r="AA110" s="573" t="e">
        <v>#DIV/0!</v>
      </c>
      <c r="AB110" s="575" t="e">
        <v>#DIV/0!</v>
      </c>
      <c r="AC110" s="574" t="e">
        <v>#DIV/0!</v>
      </c>
      <c r="AD110" s="575" t="e">
        <v>#DIV/0!</v>
      </c>
      <c r="AE110" s="574" t="e">
        <v>#DIV/0!</v>
      </c>
      <c r="AF110" s="575" t="e">
        <v>#DIV/0!</v>
      </c>
      <c r="AG110" s="574" t="e">
        <v>#DIV/0!</v>
      </c>
      <c r="AH110" s="573" t="e">
        <v>#DIV/0!</v>
      </c>
      <c r="AI110" s="573" t="e">
        <v>#DIV/0!</v>
      </c>
      <c r="AJ110" s="573" t="e">
        <v>#DIV/0!</v>
      </c>
      <c r="AK110" s="575" t="e">
        <v>#DIV/0!</v>
      </c>
      <c r="AL110" s="576" t="e">
        <v>#DIV/0!</v>
      </c>
      <c r="AM110" s="503"/>
      <c r="AN110" s="758"/>
      <c r="AO110" s="758"/>
      <c r="AP110" s="503"/>
      <c r="AQ110" s="503"/>
      <c r="AR110" s="503"/>
      <c r="AS110" s="503"/>
    </row>
    <row r="111" spans="2:45" ht="21.95" customHeight="1">
      <c r="B111" s="564" t="s">
        <v>871</v>
      </c>
      <c r="C111" s="565" t="s">
        <v>160</v>
      </c>
      <c r="D111" s="540" t="s">
        <v>645</v>
      </c>
      <c r="E111" s="565">
        <v>17</v>
      </c>
      <c r="F111" s="565" t="s">
        <v>160</v>
      </c>
      <c r="G111" s="566" t="s">
        <v>731</v>
      </c>
      <c r="H111" s="606"/>
      <c r="I111" s="540" t="str">
        <f t="shared" si="6"/>
        <v>New Cabin Complex (St. Park)</v>
      </c>
      <c r="J111" s="569" t="s">
        <v>160</v>
      </c>
      <c r="K111" s="569" t="s">
        <v>735</v>
      </c>
      <c r="L111" s="570" t="s">
        <v>872</v>
      </c>
      <c r="M111" s="571">
        <v>4968</v>
      </c>
      <c r="N111" s="572">
        <v>338.27692654081795</v>
      </c>
      <c r="O111" s="573"/>
      <c r="P111" s="574"/>
      <c r="Q111" s="575"/>
      <c r="R111" s="574"/>
      <c r="S111" s="573"/>
      <c r="T111" s="575"/>
      <c r="U111" s="574"/>
      <c r="V111" s="573"/>
      <c r="W111" s="575"/>
      <c r="X111" s="574"/>
      <c r="Y111" s="573"/>
      <c r="Z111" s="573"/>
      <c r="AA111" s="573"/>
      <c r="AB111" s="575"/>
      <c r="AC111" s="574"/>
      <c r="AD111" s="575"/>
      <c r="AE111" s="574"/>
      <c r="AF111" s="575"/>
      <c r="AG111" s="574"/>
      <c r="AH111" s="573"/>
      <c r="AI111" s="573"/>
      <c r="AJ111" s="573"/>
      <c r="AK111" s="575"/>
      <c r="AL111" s="576"/>
      <c r="AM111" s="503"/>
      <c r="AN111" s="758"/>
      <c r="AO111" s="758"/>
      <c r="AP111" s="503"/>
      <c r="AQ111" s="503"/>
      <c r="AR111" s="503"/>
      <c r="AS111" s="503"/>
    </row>
    <row r="112" spans="2:45" ht="21.95" customHeight="1">
      <c r="B112" s="564" t="s">
        <v>649</v>
      </c>
      <c r="C112" s="565" t="s">
        <v>160</v>
      </c>
      <c r="D112" s="540" t="s">
        <v>649</v>
      </c>
      <c r="E112" s="565">
        <v>4</v>
      </c>
      <c r="F112" s="565" t="s">
        <v>160</v>
      </c>
      <c r="G112" s="566" t="s">
        <v>731</v>
      </c>
      <c r="H112" s="606"/>
      <c r="I112" s="540" t="str">
        <f t="shared" si="6"/>
        <v>Reno. -Cabin Complex (St. Park)</v>
      </c>
      <c r="J112" s="569" t="s">
        <v>160</v>
      </c>
      <c r="K112" s="569" t="s">
        <v>735</v>
      </c>
      <c r="L112" s="570" t="s">
        <v>873</v>
      </c>
      <c r="M112" s="571">
        <v>21238</v>
      </c>
      <c r="N112" s="572">
        <v>361.55932923670133</v>
      </c>
      <c r="O112" s="573"/>
      <c r="P112" s="574"/>
      <c r="Q112" s="575"/>
      <c r="R112" s="574"/>
      <c r="S112" s="573"/>
      <c r="T112" s="575"/>
      <c r="U112" s="574"/>
      <c r="V112" s="573"/>
      <c r="W112" s="575"/>
      <c r="X112" s="574"/>
      <c r="Y112" s="573"/>
      <c r="Z112" s="573"/>
      <c r="AA112" s="573"/>
      <c r="AB112" s="575"/>
      <c r="AC112" s="574"/>
      <c r="AD112" s="575"/>
      <c r="AE112" s="574"/>
      <c r="AF112" s="575"/>
      <c r="AG112" s="574"/>
      <c r="AH112" s="573"/>
      <c r="AI112" s="573"/>
      <c r="AJ112" s="573"/>
      <c r="AK112" s="575"/>
      <c r="AL112" s="576"/>
      <c r="AM112" s="503"/>
      <c r="AN112" s="758"/>
      <c r="AO112" s="758"/>
      <c r="AP112" s="503"/>
      <c r="AQ112" s="503"/>
      <c r="AR112" s="503"/>
      <c r="AS112" s="503"/>
    </row>
    <row r="113" spans="2:45" ht="21.95" hidden="1" customHeight="1">
      <c r="B113" s="564" t="s">
        <v>874</v>
      </c>
      <c r="C113" s="565" t="s">
        <v>284</v>
      </c>
      <c r="D113" s="540" t="s">
        <v>874</v>
      </c>
      <c r="E113" s="565">
        <v>4</v>
      </c>
      <c r="F113" s="565" t="s">
        <v>160</v>
      </c>
      <c r="G113" s="566" t="s">
        <v>726</v>
      </c>
      <c r="H113" s="606"/>
      <c r="I113" s="540" t="str">
        <f t="shared" si="6"/>
        <v>Picnic Shelter (St. Park)</v>
      </c>
      <c r="J113" s="569" t="s">
        <v>160</v>
      </c>
      <c r="K113" s="569" t="s">
        <v>735</v>
      </c>
      <c r="L113" s="570" t="s">
        <v>875</v>
      </c>
      <c r="M113" s="571">
        <v>2925.5</v>
      </c>
      <c r="N113" s="572">
        <v>202.71170202574322</v>
      </c>
      <c r="O113" s="573"/>
      <c r="P113" s="574"/>
      <c r="Q113" s="575"/>
      <c r="R113" s="574"/>
      <c r="S113" s="573"/>
      <c r="T113" s="575"/>
      <c r="U113" s="574"/>
      <c r="V113" s="573"/>
      <c r="W113" s="575"/>
      <c r="X113" s="574"/>
      <c r="Y113" s="573"/>
      <c r="Z113" s="573"/>
      <c r="AA113" s="573"/>
      <c r="AB113" s="575"/>
      <c r="AC113" s="574"/>
      <c r="AD113" s="575"/>
      <c r="AE113" s="574"/>
      <c r="AF113" s="575"/>
      <c r="AG113" s="574"/>
      <c r="AH113" s="573"/>
      <c r="AI113" s="573"/>
      <c r="AJ113" s="573"/>
      <c r="AK113" s="575"/>
      <c r="AL113" s="576"/>
      <c r="AM113" s="503"/>
      <c r="AN113" s="758"/>
      <c r="AO113" s="758"/>
      <c r="AP113" s="503"/>
      <c r="AQ113" s="503"/>
      <c r="AR113" s="503"/>
      <c r="AS113" s="503"/>
    </row>
    <row r="114" spans="2:45" ht="21.95" hidden="1" customHeight="1">
      <c r="B114" s="564" t="s">
        <v>876</v>
      </c>
      <c r="C114" s="565" t="s">
        <v>284</v>
      </c>
      <c r="D114" s="540" t="s">
        <v>876</v>
      </c>
      <c r="E114" s="565">
        <v>5</v>
      </c>
      <c r="F114" s="565" t="s">
        <v>160</v>
      </c>
      <c r="G114" s="566" t="s">
        <v>726</v>
      </c>
      <c r="H114" s="606"/>
      <c r="I114" s="540" t="str">
        <f t="shared" si="6"/>
        <v>Park Office (St. Park)</v>
      </c>
      <c r="J114" s="569" t="s">
        <v>160</v>
      </c>
      <c r="K114" s="569" t="s">
        <v>735</v>
      </c>
      <c r="L114" s="570" t="s">
        <v>877</v>
      </c>
      <c r="M114" s="571">
        <v>3926</v>
      </c>
      <c r="N114" s="572">
        <v>840.75083766260843</v>
      </c>
      <c r="O114" s="573"/>
      <c r="P114" s="574"/>
      <c r="Q114" s="575"/>
      <c r="R114" s="574"/>
      <c r="S114" s="573"/>
      <c r="T114" s="575"/>
      <c r="U114" s="574"/>
      <c r="V114" s="573"/>
      <c r="W114" s="575"/>
      <c r="X114" s="574"/>
      <c r="Y114" s="573"/>
      <c r="Z114" s="573"/>
      <c r="AA114" s="573"/>
      <c r="AB114" s="575"/>
      <c r="AC114" s="574"/>
      <c r="AD114" s="575"/>
      <c r="AE114" s="574"/>
      <c r="AF114" s="575"/>
      <c r="AG114" s="574"/>
      <c r="AH114" s="573"/>
      <c r="AI114" s="573"/>
      <c r="AJ114" s="573"/>
      <c r="AK114" s="575"/>
      <c r="AL114" s="576"/>
      <c r="AM114" s="503"/>
      <c r="AN114" s="758"/>
      <c r="AO114" s="758"/>
      <c r="AP114" s="503"/>
      <c r="AQ114" s="503"/>
      <c r="AR114" s="503"/>
      <c r="AS114" s="503"/>
    </row>
    <row r="115" spans="2:45" ht="21.95" customHeight="1">
      <c r="B115" s="564" t="s">
        <v>652</v>
      </c>
      <c r="C115" s="565" t="s">
        <v>160</v>
      </c>
      <c r="D115" s="540" t="s">
        <v>652</v>
      </c>
      <c r="E115" s="565">
        <v>4</v>
      </c>
      <c r="F115" s="565" t="s">
        <v>160</v>
      </c>
      <c r="G115" s="566" t="s">
        <v>731</v>
      </c>
      <c r="H115" s="606"/>
      <c r="I115" s="540" t="str">
        <f t="shared" si="6"/>
        <v>Bathhouse (St. Park)</v>
      </c>
      <c r="J115" s="569" t="s">
        <v>160</v>
      </c>
      <c r="K115" s="569" t="s">
        <v>735</v>
      </c>
      <c r="L115" s="570" t="s">
        <v>878</v>
      </c>
      <c r="M115" s="571">
        <v>1962.5</v>
      </c>
      <c r="N115" s="572">
        <v>601.17617617324242</v>
      </c>
      <c r="O115" s="573"/>
      <c r="P115" s="574" t="e">
        <v>#DIV/0!</v>
      </c>
      <c r="Q115" s="575" t="e">
        <v>#DIV/0!</v>
      </c>
      <c r="R115" s="574" t="e">
        <v>#DIV/0!</v>
      </c>
      <c r="S115" s="573" t="e">
        <v>#DIV/0!</v>
      </c>
      <c r="T115" s="575" t="e">
        <v>#DIV/0!</v>
      </c>
      <c r="U115" s="574" t="e">
        <v>#DIV/0!</v>
      </c>
      <c r="V115" s="573" t="e">
        <v>#DIV/0!</v>
      </c>
      <c r="W115" s="575" t="e">
        <v>#DIV/0!</v>
      </c>
      <c r="X115" s="574" t="e">
        <v>#DIV/0!</v>
      </c>
      <c r="Y115" s="573" t="e">
        <v>#DIV/0!</v>
      </c>
      <c r="Z115" s="573" t="e">
        <v>#DIV/0!</v>
      </c>
      <c r="AA115" s="573" t="e">
        <v>#DIV/0!</v>
      </c>
      <c r="AB115" s="575" t="e">
        <v>#DIV/0!</v>
      </c>
      <c r="AC115" s="574" t="e">
        <v>#DIV/0!</v>
      </c>
      <c r="AD115" s="575" t="e">
        <v>#DIV/0!</v>
      </c>
      <c r="AE115" s="574" t="e">
        <v>#DIV/0!</v>
      </c>
      <c r="AF115" s="575" t="e">
        <v>#DIV/0!</v>
      </c>
      <c r="AG115" s="574" t="e">
        <v>#DIV/0!</v>
      </c>
      <c r="AH115" s="573" t="e">
        <v>#DIV/0!</v>
      </c>
      <c r="AI115" s="573" t="e">
        <v>#DIV/0!</v>
      </c>
      <c r="AJ115" s="573" t="e">
        <v>#DIV/0!</v>
      </c>
      <c r="AK115" s="575" t="e">
        <v>#DIV/0!</v>
      </c>
      <c r="AL115" s="576" t="e">
        <v>#DIV/0!</v>
      </c>
      <c r="AM115" s="503"/>
      <c r="AN115" s="758"/>
      <c r="AO115" s="758"/>
      <c r="AP115" s="503"/>
      <c r="AQ115" s="503"/>
      <c r="AR115" s="503"/>
      <c r="AS115" s="503"/>
    </row>
    <row r="116" spans="2:45" ht="21.95" hidden="1" customHeight="1">
      <c r="B116" s="564" t="s">
        <v>879</v>
      </c>
      <c r="C116" s="565" t="s">
        <v>284</v>
      </c>
      <c r="D116" s="540" t="s">
        <v>879</v>
      </c>
      <c r="E116" s="565">
        <v>4</v>
      </c>
      <c r="F116" s="565" t="s">
        <v>160</v>
      </c>
      <c r="G116" s="566" t="s">
        <v>726</v>
      </c>
      <c r="H116" s="606"/>
      <c r="I116" s="540" t="str">
        <f t="shared" si="6"/>
        <v>Maintenance Complex (St. Park)</v>
      </c>
      <c r="J116" s="569" t="s">
        <v>160</v>
      </c>
      <c r="K116" s="569" t="s">
        <v>735</v>
      </c>
      <c r="L116" s="570" t="s">
        <v>880</v>
      </c>
      <c r="M116" s="571">
        <v>2700.5</v>
      </c>
      <c r="N116" s="572">
        <v>427.32485996764615</v>
      </c>
      <c r="O116" s="573"/>
      <c r="P116" s="574" t="e">
        <v>#DIV/0!</v>
      </c>
      <c r="Q116" s="575" t="e">
        <v>#DIV/0!</v>
      </c>
      <c r="R116" s="574" t="e">
        <v>#DIV/0!</v>
      </c>
      <c r="S116" s="573" t="e">
        <v>#DIV/0!</v>
      </c>
      <c r="T116" s="575" t="e">
        <v>#DIV/0!</v>
      </c>
      <c r="U116" s="574" t="e">
        <v>#DIV/0!</v>
      </c>
      <c r="V116" s="573" t="e">
        <v>#DIV/0!</v>
      </c>
      <c r="W116" s="575" t="e">
        <v>#DIV/0!</v>
      </c>
      <c r="X116" s="574" t="e">
        <v>#DIV/0!</v>
      </c>
      <c r="Y116" s="573" t="e">
        <v>#DIV/0!</v>
      </c>
      <c r="Z116" s="573" t="e">
        <v>#DIV/0!</v>
      </c>
      <c r="AA116" s="573" t="e">
        <v>#DIV/0!</v>
      </c>
      <c r="AB116" s="575" t="e">
        <v>#DIV/0!</v>
      </c>
      <c r="AC116" s="574" t="e">
        <v>#DIV/0!</v>
      </c>
      <c r="AD116" s="575" t="e">
        <v>#DIV/0!</v>
      </c>
      <c r="AE116" s="574" t="e">
        <v>#DIV/0!</v>
      </c>
      <c r="AF116" s="575" t="e">
        <v>#DIV/0!</v>
      </c>
      <c r="AG116" s="574" t="e">
        <v>#DIV/0!</v>
      </c>
      <c r="AH116" s="573" t="e">
        <v>#DIV/0!</v>
      </c>
      <c r="AI116" s="573" t="e">
        <v>#DIV/0!</v>
      </c>
      <c r="AJ116" s="573" t="e">
        <v>#DIV/0!</v>
      </c>
      <c r="AK116" s="575" t="e">
        <v>#DIV/0!</v>
      </c>
      <c r="AL116" s="576" t="e">
        <v>#DIV/0!</v>
      </c>
      <c r="AM116" s="503"/>
      <c r="AN116" s="758"/>
      <c r="AO116" s="758"/>
      <c r="AP116" s="503"/>
      <c r="AQ116" s="503"/>
      <c r="AR116" s="503"/>
      <c r="AS116" s="503"/>
    </row>
    <row r="117" spans="2:45" ht="21.95" customHeight="1">
      <c r="B117" s="564" t="s">
        <v>653</v>
      </c>
      <c r="C117" s="565" t="s">
        <v>160</v>
      </c>
      <c r="D117" s="540" t="s">
        <v>653</v>
      </c>
      <c r="E117" s="565">
        <v>4</v>
      </c>
      <c r="F117" s="565" t="s">
        <v>160</v>
      </c>
      <c r="G117" s="566" t="s">
        <v>726</v>
      </c>
      <c r="H117" s="606"/>
      <c r="I117" s="540" t="str">
        <f t="shared" si="6"/>
        <v>New Vocational Labs</v>
      </c>
      <c r="J117" s="569" t="s">
        <v>160</v>
      </c>
      <c r="K117" s="569" t="s">
        <v>735</v>
      </c>
      <c r="L117" s="570" t="s">
        <v>881</v>
      </c>
      <c r="M117" s="571">
        <v>28072.5</v>
      </c>
      <c r="N117" s="572">
        <v>480.25462300928302</v>
      </c>
      <c r="O117" s="573"/>
      <c r="P117" s="574" t="e">
        <v>#DIV/0!</v>
      </c>
      <c r="Q117" s="575" t="e">
        <v>#DIV/0!</v>
      </c>
      <c r="R117" s="574" t="e">
        <v>#DIV/0!</v>
      </c>
      <c r="S117" s="573" t="e">
        <v>#DIV/0!</v>
      </c>
      <c r="T117" s="575" t="e">
        <v>#DIV/0!</v>
      </c>
      <c r="U117" s="574" t="e">
        <v>#DIV/0!</v>
      </c>
      <c r="V117" s="573" t="e">
        <v>#DIV/0!</v>
      </c>
      <c r="W117" s="575" t="e">
        <v>#DIV/0!</v>
      </c>
      <c r="X117" s="574" t="e">
        <v>#DIV/0!</v>
      </c>
      <c r="Y117" s="573" t="e">
        <v>#DIV/0!</v>
      </c>
      <c r="Z117" s="573" t="e">
        <v>#DIV/0!</v>
      </c>
      <c r="AA117" s="573" t="e">
        <v>#DIV/0!</v>
      </c>
      <c r="AB117" s="575" t="e">
        <v>#DIV/0!</v>
      </c>
      <c r="AC117" s="574" t="e">
        <v>#DIV/0!</v>
      </c>
      <c r="AD117" s="575" t="e">
        <v>#DIV/0!</v>
      </c>
      <c r="AE117" s="574" t="e">
        <v>#DIV/0!</v>
      </c>
      <c r="AF117" s="575" t="e">
        <v>#DIV/0!</v>
      </c>
      <c r="AG117" s="574" t="e">
        <v>#DIV/0!</v>
      </c>
      <c r="AH117" s="573" t="e">
        <v>#DIV/0!</v>
      </c>
      <c r="AI117" s="573" t="e">
        <v>#DIV/0!</v>
      </c>
      <c r="AJ117" s="573" t="e">
        <v>#DIV/0!</v>
      </c>
      <c r="AK117" s="575" t="e">
        <v>#DIV/0!</v>
      </c>
      <c r="AL117" s="576" t="e">
        <v>#DIV/0!</v>
      </c>
      <c r="AM117" s="503"/>
      <c r="AN117" s="758"/>
      <c r="AO117" s="758"/>
      <c r="AP117" s="503"/>
      <c r="AQ117" s="503"/>
      <c r="AR117" s="503"/>
      <c r="AS117" s="503"/>
    </row>
    <row r="118" spans="2:45" ht="21.95" customHeight="1">
      <c r="B118" s="564" t="s">
        <v>653</v>
      </c>
      <c r="C118" s="565" t="s">
        <v>160</v>
      </c>
      <c r="D118" s="540" t="s">
        <v>653</v>
      </c>
      <c r="E118" s="565">
        <v>4</v>
      </c>
      <c r="F118" s="565" t="s">
        <v>160</v>
      </c>
      <c r="G118" s="566" t="s">
        <v>726</v>
      </c>
      <c r="H118" s="606"/>
      <c r="I118" s="540" t="str">
        <f t="shared" si="6"/>
        <v>New Vocational Labs</v>
      </c>
      <c r="J118" s="569" t="s">
        <v>160</v>
      </c>
      <c r="K118" s="569" t="s">
        <v>735</v>
      </c>
      <c r="L118" s="570" t="s">
        <v>881</v>
      </c>
      <c r="M118" s="571">
        <v>28072.5</v>
      </c>
      <c r="N118" s="572">
        <v>480.25462300928302</v>
      </c>
      <c r="O118" s="573"/>
      <c r="P118" s="574" t="e">
        <v>#DIV/0!</v>
      </c>
      <c r="Q118" s="575" t="e">
        <v>#DIV/0!</v>
      </c>
      <c r="R118" s="574" t="e">
        <v>#DIV/0!</v>
      </c>
      <c r="S118" s="573" t="e">
        <v>#DIV/0!</v>
      </c>
      <c r="T118" s="575" t="e">
        <v>#DIV/0!</v>
      </c>
      <c r="U118" s="574" t="e">
        <v>#DIV/0!</v>
      </c>
      <c r="V118" s="573" t="e">
        <v>#DIV/0!</v>
      </c>
      <c r="W118" s="575" t="e">
        <v>#DIV/0!</v>
      </c>
      <c r="X118" s="574" t="e">
        <v>#DIV/0!</v>
      </c>
      <c r="Y118" s="573" t="e">
        <v>#DIV/0!</v>
      </c>
      <c r="Z118" s="573" t="e">
        <v>#DIV/0!</v>
      </c>
      <c r="AA118" s="573" t="e">
        <v>#DIV/0!</v>
      </c>
      <c r="AB118" s="575" t="e">
        <v>#DIV/0!</v>
      </c>
      <c r="AC118" s="574" t="e">
        <v>#DIV/0!</v>
      </c>
      <c r="AD118" s="575" t="e">
        <v>#DIV/0!</v>
      </c>
      <c r="AE118" s="574" t="e">
        <v>#DIV/0!</v>
      </c>
      <c r="AF118" s="575" t="e">
        <v>#DIV/0!</v>
      </c>
      <c r="AG118" s="574" t="e">
        <v>#DIV/0!</v>
      </c>
      <c r="AH118" s="573" t="e">
        <v>#DIV/0!</v>
      </c>
      <c r="AI118" s="573" t="e">
        <v>#DIV/0!</v>
      </c>
      <c r="AJ118" s="573" t="e">
        <v>#DIV/0!</v>
      </c>
      <c r="AK118" s="575" t="e">
        <v>#DIV/0!</v>
      </c>
      <c r="AL118" s="576" t="e">
        <v>#DIV/0!</v>
      </c>
      <c r="AM118" s="503"/>
      <c r="AN118" s="758"/>
      <c r="AO118" s="758"/>
      <c r="AP118" s="503"/>
      <c r="AQ118" s="503"/>
      <c r="AR118" s="503"/>
      <c r="AS118" s="503"/>
    </row>
    <row r="119" spans="2:45" ht="21.95" customHeight="1">
      <c r="B119" s="564" t="s">
        <v>654</v>
      </c>
      <c r="C119" s="565" t="s">
        <v>160</v>
      </c>
      <c r="D119" s="540" t="s">
        <v>654</v>
      </c>
      <c r="E119" s="565">
        <v>16</v>
      </c>
      <c r="F119" s="565" t="s">
        <v>160</v>
      </c>
      <c r="G119" s="566" t="s">
        <v>726</v>
      </c>
      <c r="H119" s="567"/>
      <c r="I119" s="540" t="str">
        <f t="shared" si="6"/>
        <v>Maintenance Buildings</v>
      </c>
      <c r="J119" s="569" t="s">
        <v>160</v>
      </c>
      <c r="K119" s="569" t="s">
        <v>735</v>
      </c>
      <c r="L119" s="570" t="s">
        <v>882</v>
      </c>
      <c r="M119" s="571">
        <v>7490</v>
      </c>
      <c r="N119" s="572">
        <v>362.16985222917384</v>
      </c>
      <c r="O119" s="526"/>
      <c r="P119" s="574" t="e">
        <v>#DIV/0!</v>
      </c>
      <c r="Q119" s="575" t="e">
        <v>#DIV/0!</v>
      </c>
      <c r="R119" s="574" t="e">
        <v>#DIV/0!</v>
      </c>
      <c r="S119" s="573" t="e">
        <v>#DIV/0!</v>
      </c>
      <c r="T119" s="575" t="e">
        <v>#DIV/0!</v>
      </c>
      <c r="U119" s="574" t="e">
        <v>#DIV/0!</v>
      </c>
      <c r="V119" s="573" t="e">
        <v>#DIV/0!</v>
      </c>
      <c r="W119" s="575" t="e">
        <v>#DIV/0!</v>
      </c>
      <c r="X119" s="574" t="e">
        <v>#DIV/0!</v>
      </c>
      <c r="Y119" s="573" t="e">
        <v>#DIV/0!</v>
      </c>
      <c r="Z119" s="573" t="e">
        <v>#DIV/0!</v>
      </c>
      <c r="AA119" s="573" t="e">
        <v>#DIV/0!</v>
      </c>
      <c r="AB119" s="575" t="e">
        <v>#DIV/0!</v>
      </c>
      <c r="AC119" s="574" t="e">
        <v>#DIV/0!</v>
      </c>
      <c r="AD119" s="575" t="e">
        <v>#DIV/0!</v>
      </c>
      <c r="AE119" s="574" t="e">
        <v>#DIV/0!</v>
      </c>
      <c r="AF119" s="575" t="e">
        <v>#DIV/0!</v>
      </c>
      <c r="AG119" s="574" t="e">
        <v>#DIV/0!</v>
      </c>
      <c r="AH119" s="573" t="e">
        <v>#DIV/0!</v>
      </c>
      <c r="AI119" s="573" t="e">
        <v>#DIV/0!</v>
      </c>
      <c r="AJ119" s="573" t="e">
        <v>#DIV/0!</v>
      </c>
      <c r="AK119" s="575" t="e">
        <v>#DIV/0!</v>
      </c>
      <c r="AL119" s="576" t="e">
        <v>#DIV/0!</v>
      </c>
      <c r="AM119" s="503"/>
      <c r="AN119" s="758"/>
      <c r="AO119" s="758"/>
      <c r="AP119" s="503"/>
      <c r="AQ119" s="503"/>
      <c r="AR119" s="503"/>
      <c r="AS119" s="503"/>
    </row>
    <row r="120" spans="2:45" ht="21.95" hidden="1" customHeight="1" thickBot="1">
      <c r="B120" s="564" t="s">
        <v>883</v>
      </c>
      <c r="C120" s="565" t="s">
        <v>284</v>
      </c>
      <c r="D120" s="540" t="s">
        <v>883</v>
      </c>
      <c r="E120" s="565">
        <v>15</v>
      </c>
      <c r="F120" s="565" t="s">
        <v>160</v>
      </c>
      <c r="G120" s="566" t="s">
        <v>726</v>
      </c>
      <c r="H120" s="567"/>
      <c r="I120" s="540" t="str">
        <f t="shared" si="6"/>
        <v>VDOT-COMBO (Chem &amp; Stor)</v>
      </c>
      <c r="J120" s="569" t="s">
        <v>160</v>
      </c>
      <c r="K120" s="569" t="s">
        <v>735</v>
      </c>
      <c r="L120" s="570" t="s">
        <v>884</v>
      </c>
      <c r="M120" s="571">
        <v>11591</v>
      </c>
      <c r="N120" s="572">
        <v>526.22829081883526</v>
      </c>
      <c r="O120" s="526"/>
      <c r="P120" s="574"/>
      <c r="Q120" s="575"/>
      <c r="R120" s="574"/>
      <c r="S120" s="573"/>
      <c r="T120" s="575"/>
      <c r="U120" s="574"/>
      <c r="V120" s="573"/>
      <c r="W120" s="575"/>
      <c r="X120" s="574"/>
      <c r="Y120" s="573"/>
      <c r="Z120" s="573"/>
      <c r="AA120" s="573"/>
      <c r="AB120" s="575"/>
      <c r="AC120" s="574"/>
      <c r="AD120" s="575"/>
      <c r="AE120" s="574"/>
      <c r="AF120" s="575"/>
      <c r="AG120" s="574"/>
      <c r="AH120" s="573"/>
      <c r="AI120" s="573"/>
      <c r="AJ120" s="573"/>
      <c r="AK120" s="575"/>
      <c r="AL120" s="576"/>
      <c r="AM120" s="503"/>
      <c r="AN120" s="758"/>
      <c r="AO120" s="758"/>
      <c r="AP120" s="503"/>
      <c r="AQ120" s="503"/>
      <c r="AR120" s="503"/>
      <c r="AS120" s="503"/>
    </row>
    <row r="121" spans="2:45" ht="21.95" hidden="1" customHeight="1" thickTop="1">
      <c r="B121" s="564"/>
      <c r="C121" s="565" t="s">
        <v>726</v>
      </c>
      <c r="D121" s="540"/>
      <c r="E121" s="565" t="s">
        <v>726</v>
      </c>
      <c r="F121" s="565" t="s">
        <v>726</v>
      </c>
      <c r="G121" s="566" t="s">
        <v>726</v>
      </c>
      <c r="H121" s="679"/>
      <c r="I121" s="680"/>
      <c r="J121" s="680"/>
      <c r="K121" s="680"/>
      <c r="L121" s="681" t="s">
        <v>726</v>
      </c>
      <c r="M121" s="682" t="s">
        <v>726</v>
      </c>
      <c r="N121" s="683" t="s">
        <v>761</v>
      </c>
      <c r="O121" s="526"/>
      <c r="P121" s="574"/>
      <c r="Q121" s="575"/>
      <c r="R121" s="574"/>
      <c r="S121" s="573"/>
      <c r="T121" s="575"/>
      <c r="U121" s="574"/>
      <c r="V121" s="573"/>
      <c r="W121" s="575"/>
      <c r="X121" s="574"/>
      <c r="Y121" s="573"/>
      <c r="Z121" s="573"/>
      <c r="AA121" s="573"/>
      <c r="AB121" s="575"/>
      <c r="AC121" s="574"/>
      <c r="AD121" s="575"/>
      <c r="AE121" s="574"/>
      <c r="AF121" s="575"/>
      <c r="AG121" s="574"/>
      <c r="AH121" s="573"/>
      <c r="AI121" s="573"/>
      <c r="AJ121" s="573"/>
      <c r="AK121" s="575"/>
      <c r="AL121" s="576"/>
      <c r="AM121" s="503"/>
      <c r="AN121" s="758"/>
      <c r="AO121" s="758"/>
      <c r="AP121" s="503"/>
      <c r="AQ121" s="503"/>
      <c r="AR121" s="503"/>
      <c r="AS121" s="503"/>
    </row>
    <row r="122" spans="2:45" ht="21.95" hidden="1" customHeight="1">
      <c r="B122" s="564"/>
      <c r="C122" s="565" t="s">
        <v>726</v>
      </c>
      <c r="D122" s="540"/>
      <c r="E122" s="565" t="s">
        <v>726</v>
      </c>
      <c r="F122" s="565" t="s">
        <v>726</v>
      </c>
      <c r="G122" s="566" t="s">
        <v>726</v>
      </c>
      <c r="H122" s="602"/>
      <c r="I122" s="758"/>
      <c r="J122" s="758"/>
      <c r="K122" s="758"/>
      <c r="L122" s="570" t="s">
        <v>726</v>
      </c>
      <c r="M122" s="571" t="s">
        <v>726</v>
      </c>
      <c r="N122" s="572" t="s">
        <v>761</v>
      </c>
      <c r="O122" s="526"/>
      <c r="P122" s="574"/>
      <c r="Q122" s="575"/>
      <c r="R122" s="574"/>
      <c r="S122" s="573"/>
      <c r="T122" s="575"/>
      <c r="U122" s="574"/>
      <c r="V122" s="573"/>
      <c r="W122" s="575"/>
      <c r="X122" s="574"/>
      <c r="Y122" s="573"/>
      <c r="Z122" s="573"/>
      <c r="AA122" s="573"/>
      <c r="AB122" s="575"/>
      <c r="AC122" s="574"/>
      <c r="AD122" s="575"/>
      <c r="AE122" s="574"/>
      <c r="AF122" s="575"/>
      <c r="AG122" s="574"/>
      <c r="AH122" s="573"/>
      <c r="AI122" s="573"/>
      <c r="AJ122" s="573"/>
      <c r="AK122" s="575"/>
      <c r="AL122" s="576"/>
      <c r="AM122" s="503"/>
      <c r="AN122" s="758"/>
      <c r="AO122" s="758"/>
      <c r="AP122" s="503"/>
      <c r="AQ122" s="503"/>
      <c r="AR122" s="503"/>
      <c r="AS122" s="503"/>
    </row>
    <row r="123" spans="2:45" ht="21.95" hidden="1" customHeight="1">
      <c r="B123" s="564"/>
      <c r="C123" s="565" t="s">
        <v>726</v>
      </c>
      <c r="D123" s="540"/>
      <c r="E123" s="565" t="s">
        <v>726</v>
      </c>
      <c r="F123" s="565" t="s">
        <v>726</v>
      </c>
      <c r="G123" s="566" t="s">
        <v>726</v>
      </c>
      <c r="H123" s="602"/>
      <c r="I123" s="758"/>
      <c r="J123" s="758"/>
      <c r="K123" s="758"/>
      <c r="L123" s="570" t="s">
        <v>726</v>
      </c>
      <c r="M123" s="571" t="s">
        <v>726</v>
      </c>
      <c r="N123" s="572" t="s">
        <v>761</v>
      </c>
      <c r="O123" s="526"/>
      <c r="P123" s="574"/>
      <c r="Q123" s="575"/>
      <c r="R123" s="574"/>
      <c r="S123" s="573"/>
      <c r="T123" s="575"/>
      <c r="U123" s="574"/>
      <c r="V123" s="573"/>
      <c r="W123" s="575"/>
      <c r="X123" s="574"/>
      <c r="Y123" s="573"/>
      <c r="Z123" s="573"/>
      <c r="AA123" s="573"/>
      <c r="AB123" s="575"/>
      <c r="AC123" s="574"/>
      <c r="AD123" s="575"/>
      <c r="AE123" s="574"/>
      <c r="AF123" s="575"/>
      <c r="AG123" s="574"/>
      <c r="AH123" s="573"/>
      <c r="AI123" s="573"/>
      <c r="AJ123" s="573"/>
      <c r="AK123" s="575"/>
      <c r="AL123" s="576"/>
      <c r="AM123" s="503"/>
      <c r="AN123" s="758"/>
      <c r="AO123" s="758"/>
      <c r="AP123" s="503"/>
      <c r="AQ123" s="503"/>
      <c r="AR123" s="503"/>
      <c r="AS123" s="503"/>
    </row>
    <row r="124" spans="2:45" ht="21.95" customHeight="1">
      <c r="B124" s="592" t="s">
        <v>655</v>
      </c>
      <c r="C124" s="593" t="s">
        <v>160</v>
      </c>
      <c r="D124" s="540" t="s">
        <v>655</v>
      </c>
      <c r="E124" s="565">
        <v>7</v>
      </c>
      <c r="F124" s="565" t="s">
        <v>160</v>
      </c>
      <c r="G124" s="566" t="s">
        <v>731</v>
      </c>
      <c r="H124" s="567"/>
      <c r="I124" s="540" t="str">
        <f>IF(B124="",D124,HYPERLINK("#'"&amp;B124&amp;"'!a1",D124))</f>
        <v>Equipment - Labs</v>
      </c>
      <c r="J124" s="569" t="s">
        <v>160</v>
      </c>
      <c r="K124" s="569" t="s">
        <v>735</v>
      </c>
      <c r="L124" s="570" t="s">
        <v>885</v>
      </c>
      <c r="M124" s="571">
        <v>73738</v>
      </c>
      <c r="N124" s="572">
        <v>52.867386036679861</v>
      </c>
      <c r="O124" s="540"/>
      <c r="P124" s="574"/>
      <c r="Q124" s="575"/>
      <c r="R124" s="574"/>
      <c r="S124" s="573"/>
      <c r="T124" s="575"/>
      <c r="U124" s="574"/>
      <c r="V124" s="573"/>
      <c r="W124" s="575"/>
      <c r="X124" s="574"/>
      <c r="Y124" s="573"/>
      <c r="Z124" s="573"/>
      <c r="AA124" s="573"/>
      <c r="AB124" s="575"/>
      <c r="AC124" s="574"/>
      <c r="AD124" s="575"/>
      <c r="AE124" s="574"/>
      <c r="AF124" s="575"/>
      <c r="AG124" s="574"/>
      <c r="AH124" s="573"/>
      <c r="AI124" s="573"/>
      <c r="AJ124" s="573"/>
      <c r="AK124" s="575"/>
      <c r="AL124" s="576"/>
      <c r="AM124" s="503"/>
      <c r="AN124" s="758"/>
      <c r="AO124" s="758"/>
      <c r="AP124" s="503"/>
      <c r="AQ124" s="503"/>
      <c r="AR124" s="503"/>
      <c r="AS124" s="503"/>
    </row>
    <row r="125" spans="2:45" ht="21.95" customHeight="1">
      <c r="B125" s="592" t="s">
        <v>886</v>
      </c>
      <c r="C125" s="593" t="s">
        <v>160</v>
      </c>
      <c r="D125" s="540" t="s">
        <v>656</v>
      </c>
      <c r="E125" s="565">
        <v>19</v>
      </c>
      <c r="F125" s="565" t="s">
        <v>160</v>
      </c>
      <c r="G125" s="566" t="s">
        <v>731</v>
      </c>
      <c r="H125" s="567"/>
      <c r="I125" s="540" t="str">
        <f>IF(B125="",D125,HYPERLINK("#'"&amp;B125&amp;"'!a1",D125))</f>
        <v>Fire Alarm (including Demo &amp; Restoring Finishes)</v>
      </c>
      <c r="J125" s="569" t="s">
        <v>160</v>
      </c>
      <c r="K125" s="569" t="s">
        <v>735</v>
      </c>
      <c r="L125" s="570" t="s">
        <v>887</v>
      </c>
      <c r="M125" s="571">
        <v>105700</v>
      </c>
      <c r="N125" s="572">
        <v>13.428335692060376</v>
      </c>
      <c r="O125" s="540"/>
      <c r="P125" s="574"/>
      <c r="Q125" s="575"/>
      <c r="R125" s="574"/>
      <c r="S125" s="573"/>
      <c r="T125" s="575"/>
      <c r="U125" s="574"/>
      <c r="V125" s="573"/>
      <c r="W125" s="575"/>
      <c r="X125" s="574"/>
      <c r="Y125" s="573"/>
      <c r="Z125" s="573"/>
      <c r="AA125" s="573"/>
      <c r="AB125" s="575"/>
      <c r="AC125" s="574"/>
      <c r="AD125" s="575"/>
      <c r="AE125" s="574"/>
      <c r="AF125" s="575"/>
      <c r="AG125" s="574"/>
      <c r="AH125" s="573"/>
      <c r="AI125" s="573"/>
      <c r="AJ125" s="573"/>
      <c r="AK125" s="575"/>
      <c r="AL125" s="576"/>
      <c r="AM125" s="503"/>
      <c r="AN125" s="758"/>
      <c r="AO125" s="758"/>
      <c r="AP125" s="503"/>
      <c r="AQ125" s="503"/>
      <c r="AR125" s="503"/>
      <c r="AS125" s="503"/>
    </row>
    <row r="126" spans="2:45" ht="21.95" customHeight="1">
      <c r="B126" s="555"/>
      <c r="C126" s="556" t="s">
        <v>160</v>
      </c>
      <c r="D126" s="555" t="s">
        <v>585</v>
      </c>
      <c r="E126" s="565" t="s">
        <v>726</v>
      </c>
      <c r="F126" s="565" t="s">
        <v>726</v>
      </c>
      <c r="G126" s="579"/>
      <c r="H126" s="600" t="s">
        <v>585</v>
      </c>
      <c r="I126" s="555"/>
      <c r="J126" s="555"/>
      <c r="K126" s="583"/>
      <c r="L126" s="583"/>
      <c r="M126" s="555"/>
      <c r="N126" s="601"/>
      <c r="O126" s="642"/>
      <c r="P126" s="585"/>
      <c r="Q126" s="586"/>
      <c r="R126" s="587"/>
      <c r="S126" s="588"/>
      <c r="T126" s="589"/>
      <c r="U126" s="590"/>
      <c r="V126" s="588"/>
      <c r="W126" s="589"/>
      <c r="X126" s="590"/>
      <c r="Y126" s="588"/>
      <c r="Z126" s="588"/>
      <c r="AA126" s="588"/>
      <c r="AB126" s="589"/>
      <c r="AC126" s="590"/>
      <c r="AD126" s="589"/>
      <c r="AE126" s="590"/>
      <c r="AF126" s="589"/>
      <c r="AG126" s="590"/>
      <c r="AH126" s="588"/>
      <c r="AI126" s="588"/>
      <c r="AJ126" s="588"/>
      <c r="AK126" s="589"/>
      <c r="AL126" s="591"/>
      <c r="AM126" s="503"/>
      <c r="AN126" s="758"/>
      <c r="AO126" s="758"/>
      <c r="AP126" s="503"/>
      <c r="AQ126" s="503"/>
      <c r="AR126" s="503"/>
      <c r="AS126" s="503"/>
    </row>
    <row r="127" spans="2:45" ht="21.95" customHeight="1">
      <c r="B127" s="592" t="s">
        <v>888</v>
      </c>
      <c r="C127" s="593" t="s">
        <v>160</v>
      </c>
      <c r="D127" s="568" t="s">
        <v>607</v>
      </c>
      <c r="E127" s="565">
        <v>13</v>
      </c>
      <c r="F127" s="565" t="s">
        <v>160</v>
      </c>
      <c r="G127" s="566" t="s">
        <v>726</v>
      </c>
      <c r="H127" s="606"/>
      <c r="I127" s="568" t="str">
        <f>IF(B127="",D127,HYPERLINK("#'"&amp;B127&amp;"'!a1",D127))</f>
        <v>Visitor's Centers</v>
      </c>
      <c r="J127" s="569" t="s">
        <v>160</v>
      </c>
      <c r="K127" s="569" t="s">
        <v>735</v>
      </c>
      <c r="L127" s="570" t="s">
        <v>889</v>
      </c>
      <c r="M127" s="571">
        <v>4463</v>
      </c>
      <c r="N127" s="572">
        <v>278.13831516021736</v>
      </c>
      <c r="O127" s="573"/>
      <c r="P127" s="574" t="e">
        <v>#DIV/0!</v>
      </c>
      <c r="Q127" s="575" t="e">
        <v>#DIV/0!</v>
      </c>
      <c r="R127" s="574" t="e">
        <v>#DIV/0!</v>
      </c>
      <c r="S127" s="573" t="e">
        <v>#DIV/0!</v>
      </c>
      <c r="T127" s="575" t="e">
        <v>#DIV/0!</v>
      </c>
      <c r="U127" s="574" t="e">
        <v>#DIV/0!</v>
      </c>
      <c r="V127" s="573" t="e">
        <v>#DIV/0!</v>
      </c>
      <c r="W127" s="575" t="e">
        <v>#DIV/0!</v>
      </c>
      <c r="X127" s="574" t="e">
        <v>#DIV/0!</v>
      </c>
      <c r="Y127" s="573" t="e">
        <v>#DIV/0!</v>
      </c>
      <c r="Z127" s="573" t="e">
        <v>#DIV/0!</v>
      </c>
      <c r="AA127" s="573" t="e">
        <v>#DIV/0!</v>
      </c>
      <c r="AB127" s="575" t="e">
        <v>#DIV/0!</v>
      </c>
      <c r="AC127" s="574" t="e">
        <v>#DIV/0!</v>
      </c>
      <c r="AD127" s="575" t="e">
        <v>#DIV/0!</v>
      </c>
      <c r="AE127" s="574" t="e">
        <v>#DIV/0!</v>
      </c>
      <c r="AF127" s="575" t="e">
        <v>#DIV/0!</v>
      </c>
      <c r="AG127" s="574" t="e">
        <v>#DIV/0!</v>
      </c>
      <c r="AH127" s="573" t="e">
        <v>#DIV/0!</v>
      </c>
      <c r="AI127" s="573" t="e">
        <v>#DIV/0!</v>
      </c>
      <c r="AJ127" s="573" t="e">
        <v>#DIV/0!</v>
      </c>
      <c r="AK127" s="575" t="e">
        <v>#DIV/0!</v>
      </c>
      <c r="AL127" s="576" t="e">
        <v>#DIV/0!</v>
      </c>
      <c r="AM127" s="503"/>
      <c r="AN127" s="758"/>
      <c r="AO127" s="758"/>
      <c r="AP127" s="503"/>
      <c r="AQ127" s="503"/>
      <c r="AR127" s="503"/>
      <c r="AS127" s="503"/>
    </row>
    <row r="128" spans="2:45" ht="21.95" customHeight="1" thickBot="1">
      <c r="B128" s="603"/>
      <c r="C128" s="599" t="s">
        <v>160</v>
      </c>
      <c r="D128" s="603" t="s">
        <v>890</v>
      </c>
      <c r="E128" s="565" t="s">
        <v>726</v>
      </c>
      <c r="F128" s="565" t="s">
        <v>726</v>
      </c>
      <c r="G128" s="604"/>
      <c r="H128" s="609" t="s">
        <v>890</v>
      </c>
      <c r="I128" s="640"/>
      <c r="J128" s="610"/>
      <c r="K128" s="641"/>
      <c r="L128" s="583"/>
      <c r="M128" s="610"/>
      <c r="N128" s="612"/>
      <c r="O128" s="642"/>
      <c r="P128" s="585"/>
      <c r="Q128" s="586"/>
      <c r="R128" s="587"/>
      <c r="S128" s="588"/>
      <c r="T128" s="589"/>
      <c r="U128" s="590"/>
      <c r="V128" s="588"/>
      <c r="W128" s="589"/>
      <c r="X128" s="590"/>
      <c r="Y128" s="588"/>
      <c r="Z128" s="588"/>
      <c r="AA128" s="588"/>
      <c r="AB128" s="589"/>
      <c r="AC128" s="590"/>
      <c r="AD128" s="589"/>
      <c r="AE128" s="590"/>
      <c r="AF128" s="589"/>
      <c r="AG128" s="590"/>
      <c r="AH128" s="588"/>
      <c r="AI128" s="588"/>
      <c r="AJ128" s="588"/>
      <c r="AK128" s="589"/>
      <c r="AL128" s="591"/>
      <c r="AM128" s="503"/>
      <c r="AN128" s="758"/>
      <c r="AO128" s="758"/>
      <c r="AP128" s="503"/>
      <c r="AQ128" s="503"/>
      <c r="AR128" s="503"/>
      <c r="AS128" s="503"/>
    </row>
    <row r="129" spans="2:45" ht="56.25" customHeight="1" thickTop="1">
      <c r="B129" s="643" t="s">
        <v>891</v>
      </c>
      <c r="C129" s="644" t="s">
        <v>160</v>
      </c>
      <c r="D129" s="645" t="s">
        <v>890</v>
      </c>
      <c r="E129" s="540"/>
      <c r="F129" s="565" t="s">
        <v>160</v>
      </c>
      <c r="G129" s="566" t="s">
        <v>731</v>
      </c>
      <c r="H129" s="646"/>
      <c r="I129" s="647" t="str">
        <f>IF(B129="",D129,HYPERLINK("#'"&amp;B129&amp;"'!a1",D129))</f>
        <v>WWTP:</v>
      </c>
      <c r="J129" s="648" t="s">
        <v>892</v>
      </c>
      <c r="K129" s="648">
        <v>0</v>
      </c>
      <c r="L129" s="649" t="s">
        <v>726</v>
      </c>
      <c r="M129" s="650" t="s">
        <v>726</v>
      </c>
      <c r="N129" s="651"/>
      <c r="O129" s="573"/>
      <c r="P129" s="652"/>
      <c r="Q129" s="652"/>
      <c r="R129" s="653"/>
      <c r="S129" s="654"/>
      <c r="T129" s="654"/>
      <c r="U129" s="654"/>
      <c r="V129" s="654"/>
      <c r="W129" s="654"/>
      <c r="X129" s="654"/>
      <c r="Y129" s="654"/>
      <c r="Z129" s="654"/>
      <c r="AA129" s="654"/>
      <c r="AB129" s="654"/>
      <c r="AC129" s="654"/>
      <c r="AD129" s="654"/>
      <c r="AE129" s="654"/>
      <c r="AF129" s="654"/>
      <c r="AG129" s="654"/>
      <c r="AH129" s="654"/>
      <c r="AI129" s="654"/>
      <c r="AJ129" s="654"/>
      <c r="AK129" s="654"/>
      <c r="AL129" s="655"/>
      <c r="AM129" s="503"/>
      <c r="AN129" s="758"/>
      <c r="AO129" s="758"/>
      <c r="AP129" s="503"/>
      <c r="AQ129" s="503"/>
      <c r="AR129" s="503"/>
      <c r="AS129" s="503"/>
    </row>
    <row r="130" spans="2:45" ht="21" thickBot="1">
      <c r="B130" s="503"/>
      <c r="C130" s="503"/>
      <c r="D130" s="504"/>
      <c r="E130" s="504"/>
      <c r="F130" s="504"/>
      <c r="G130" s="504"/>
      <c r="H130" s="567"/>
      <c r="I130" s="739"/>
      <c r="J130" s="739"/>
      <c r="K130" s="751"/>
      <c r="L130" s="739"/>
      <c r="M130" s="751"/>
      <c r="N130" s="1226"/>
      <c r="O130" s="507"/>
      <c r="P130" s="790"/>
      <c r="Q130" s="790"/>
      <c r="R130" s="508"/>
      <c r="S130" s="509"/>
      <c r="T130" s="509"/>
      <c r="U130" s="509"/>
      <c r="V130" s="509"/>
      <c r="W130" s="509"/>
      <c r="X130" s="509"/>
      <c r="Y130" s="509"/>
      <c r="Z130" s="509"/>
      <c r="AA130" s="509"/>
      <c r="AB130" s="509"/>
      <c r="AC130" s="509"/>
      <c r="AD130" s="509"/>
      <c r="AE130" s="509"/>
      <c r="AF130" s="509"/>
      <c r="AG130" s="509"/>
      <c r="AH130" s="509"/>
      <c r="AI130" s="509"/>
      <c r="AJ130" s="509"/>
      <c r="AK130" s="509"/>
      <c r="AL130" s="509"/>
      <c r="AM130" s="503"/>
      <c r="AN130" s="758"/>
      <c r="AO130" s="758"/>
      <c r="AP130" s="503"/>
      <c r="AQ130" s="503"/>
      <c r="AR130" s="503"/>
      <c r="AS130" s="503"/>
    </row>
    <row r="131" spans="2:45" ht="50.25" customHeight="1" thickBot="1">
      <c r="B131" s="503"/>
      <c r="C131" s="503"/>
      <c r="D131" s="504"/>
      <c r="E131" s="504"/>
      <c r="F131" s="504"/>
      <c r="G131" s="504"/>
      <c r="H131" s="656" t="s">
        <v>893</v>
      </c>
      <c r="I131" s="657"/>
      <c r="J131" s="1012" t="s">
        <v>894</v>
      </c>
      <c r="K131" s="1012"/>
      <c r="L131" s="1012" t="s">
        <v>895</v>
      </c>
      <c r="M131" s="1012"/>
      <c r="N131" s="658" t="s">
        <v>896</v>
      </c>
      <c r="O131" s="659"/>
      <c r="P131" s="790"/>
      <c r="Q131" s="790"/>
      <c r="R131" s="508"/>
      <c r="S131" s="509"/>
      <c r="T131" s="509"/>
      <c r="U131" s="509"/>
      <c r="V131" s="509"/>
      <c r="W131" s="509"/>
      <c r="X131" s="509"/>
      <c r="Y131" s="509"/>
      <c r="Z131" s="509"/>
      <c r="AA131" s="509"/>
      <c r="AB131" s="509"/>
      <c r="AC131" s="509"/>
      <c r="AD131" s="509"/>
      <c r="AE131" s="509"/>
      <c r="AF131" s="509"/>
      <c r="AG131" s="510"/>
      <c r="AH131" s="509"/>
      <c r="AI131" s="509"/>
      <c r="AJ131" s="509"/>
      <c r="AK131" s="509"/>
      <c r="AL131" s="509"/>
      <c r="AM131" s="503"/>
      <c r="AN131" s="758"/>
      <c r="AO131" s="758"/>
      <c r="AP131" s="503"/>
      <c r="AQ131" s="503"/>
      <c r="AR131" s="503"/>
      <c r="AS131" s="503"/>
    </row>
    <row r="132" spans="2:45" ht="47.25" customHeight="1" thickTop="1">
      <c r="B132" s="503"/>
      <c r="C132" s="503"/>
      <c r="D132" s="504"/>
      <c r="E132" s="504"/>
      <c r="F132" s="504"/>
      <c r="G132" s="504"/>
      <c r="H132" s="660" t="s">
        <v>897</v>
      </c>
      <c r="I132" s="789" t="s">
        <v>898</v>
      </c>
      <c r="J132" s="994" t="s">
        <v>899</v>
      </c>
      <c r="K132" s="994"/>
      <c r="L132" s="995" t="s">
        <v>900</v>
      </c>
      <c r="M132" s="995"/>
      <c r="N132" s="661"/>
      <c r="O132" s="526"/>
      <c r="P132" s="790"/>
      <c r="Q132" s="790"/>
      <c r="R132" s="508"/>
      <c r="S132" s="509"/>
      <c r="T132" s="509"/>
      <c r="U132" s="509"/>
      <c r="V132" s="509"/>
      <c r="W132" s="509"/>
      <c r="X132" s="509"/>
      <c r="Y132" s="509"/>
      <c r="Z132" s="509"/>
      <c r="AA132" s="509"/>
      <c r="AB132" s="509"/>
      <c r="AC132" s="509"/>
      <c r="AD132" s="509"/>
      <c r="AE132" s="509"/>
      <c r="AF132" s="509"/>
      <c r="AG132" s="510"/>
      <c r="AH132" s="509"/>
      <c r="AI132" s="509"/>
      <c r="AJ132" s="509"/>
      <c r="AK132" s="509"/>
      <c r="AL132" s="509"/>
      <c r="AM132" s="503"/>
      <c r="AN132" s="758"/>
      <c r="AO132" s="758"/>
      <c r="AP132" s="503"/>
      <c r="AQ132" s="503"/>
      <c r="AR132" s="503"/>
      <c r="AS132" s="503"/>
    </row>
    <row r="133" spans="2:45" ht="47.25" customHeight="1">
      <c r="B133" s="503"/>
      <c r="C133" s="503"/>
      <c r="D133" s="504"/>
      <c r="E133" s="504"/>
      <c r="F133" s="504"/>
      <c r="G133" s="504"/>
      <c r="H133" s="752" t="s">
        <v>404</v>
      </c>
      <c r="I133" s="1227" t="s">
        <v>901</v>
      </c>
      <c r="J133" s="1228" t="s">
        <v>902</v>
      </c>
      <c r="K133" s="1228"/>
      <c r="L133" s="1229" t="s">
        <v>903</v>
      </c>
      <c r="M133" s="1229"/>
      <c r="N133" s="753"/>
      <c r="O133" s="526"/>
      <c r="P133" s="790"/>
      <c r="Q133" s="790"/>
      <c r="R133" s="508"/>
      <c r="S133" s="509"/>
      <c r="T133" s="509"/>
      <c r="U133" s="509"/>
      <c r="V133" s="509"/>
      <c r="W133" s="509"/>
      <c r="X133" s="509"/>
      <c r="Y133" s="509"/>
      <c r="Z133" s="509"/>
      <c r="AA133" s="509"/>
      <c r="AB133" s="509"/>
      <c r="AC133" s="509"/>
      <c r="AD133" s="509"/>
      <c r="AE133" s="509"/>
      <c r="AF133" s="509"/>
      <c r="AG133" s="510"/>
      <c r="AH133" s="509"/>
      <c r="AI133" s="509"/>
      <c r="AJ133" s="509"/>
      <c r="AK133" s="509"/>
      <c r="AL133" s="509"/>
      <c r="AM133" s="503"/>
      <c r="AN133" s="758"/>
      <c r="AO133" s="758"/>
      <c r="AP133" s="503"/>
      <c r="AQ133" s="503"/>
      <c r="AR133" s="503"/>
      <c r="AS133" s="503"/>
    </row>
    <row r="134" spans="2:45" ht="47.25" customHeight="1" thickBot="1">
      <c r="B134" s="503"/>
      <c r="C134" s="503"/>
      <c r="D134" s="504"/>
      <c r="E134" s="504"/>
      <c r="F134" s="504"/>
      <c r="G134" s="504"/>
      <c r="H134" s="829" t="s">
        <v>904</v>
      </c>
      <c r="I134" s="786" t="s">
        <v>905</v>
      </c>
      <c r="J134" s="1017" t="s">
        <v>906</v>
      </c>
      <c r="K134" s="1017"/>
      <c r="L134" s="1018" t="s">
        <v>907</v>
      </c>
      <c r="M134" s="1018"/>
      <c r="N134" s="754"/>
      <c r="O134" s="526"/>
      <c r="P134" s="790"/>
      <c r="Q134" s="790"/>
      <c r="R134" s="508"/>
      <c r="S134" s="509"/>
      <c r="T134" s="509"/>
      <c r="U134" s="509"/>
      <c r="V134" s="509"/>
      <c r="W134" s="509"/>
      <c r="X134" s="509"/>
      <c r="Y134" s="509"/>
      <c r="Z134" s="509"/>
      <c r="AA134" s="509"/>
      <c r="AB134" s="509"/>
      <c r="AC134" s="509"/>
      <c r="AD134" s="509"/>
      <c r="AE134" s="509"/>
      <c r="AF134" s="509"/>
      <c r="AG134" s="510"/>
      <c r="AH134" s="509"/>
      <c r="AI134" s="509"/>
      <c r="AJ134" s="509"/>
      <c r="AK134" s="509"/>
      <c r="AL134" s="509"/>
      <c r="AM134" s="503"/>
      <c r="AN134" s="758"/>
      <c r="AO134" s="758"/>
      <c r="AP134" s="503"/>
      <c r="AQ134" s="503"/>
      <c r="AR134" s="503"/>
      <c r="AS134" s="503"/>
    </row>
    <row r="135" spans="2:45" ht="20.25">
      <c r="B135" s="503"/>
      <c r="C135" s="503"/>
      <c r="D135" s="504"/>
      <c r="E135" s="504"/>
      <c r="F135" s="504"/>
      <c r="G135" s="504"/>
      <c r="H135" s="662"/>
      <c r="I135" s="509"/>
      <c r="J135" s="509"/>
      <c r="K135" s="663"/>
      <c r="L135" s="664"/>
      <c r="M135" s="663"/>
      <c r="N135" s="665"/>
      <c r="O135" s="666"/>
      <c r="P135" s="790"/>
      <c r="Q135" s="790"/>
      <c r="R135" s="508"/>
      <c r="S135" s="509"/>
      <c r="T135" s="509"/>
      <c r="U135" s="509"/>
      <c r="V135" s="509"/>
      <c r="W135" s="509"/>
      <c r="X135" s="509"/>
      <c r="Y135" s="509"/>
      <c r="Z135" s="509"/>
      <c r="AA135" s="509"/>
      <c r="AB135" s="509"/>
      <c r="AC135" s="509"/>
      <c r="AD135" s="509"/>
      <c r="AE135" s="509"/>
      <c r="AF135" s="509"/>
      <c r="AG135" s="510"/>
      <c r="AH135" s="509"/>
      <c r="AI135" s="509"/>
      <c r="AJ135" s="509"/>
      <c r="AK135" s="509"/>
      <c r="AL135" s="509"/>
      <c r="AM135" s="503"/>
      <c r="AN135" s="758"/>
      <c r="AO135" s="758"/>
      <c r="AP135" s="503"/>
      <c r="AQ135" s="503"/>
      <c r="AR135" s="503"/>
      <c r="AS135" s="503"/>
    </row>
    <row r="136" spans="2:45" ht="20.25">
      <c r="B136" s="503"/>
      <c r="C136" s="503"/>
      <c r="D136" s="504"/>
      <c r="E136" s="504"/>
      <c r="F136" s="504"/>
      <c r="G136" s="504"/>
      <c r="H136" s="662"/>
      <c r="I136" s="509"/>
      <c r="J136" s="509"/>
      <c r="K136" s="509"/>
      <c r="L136" s="664"/>
      <c r="M136" s="509"/>
      <c r="N136" s="665"/>
      <c r="O136" s="666"/>
      <c r="P136" s="790"/>
      <c r="Q136" s="790"/>
      <c r="R136" s="508"/>
      <c r="S136" s="509"/>
      <c r="T136" s="509"/>
      <c r="U136" s="509"/>
      <c r="V136" s="509"/>
      <c r="W136" s="509"/>
      <c r="X136" s="509"/>
      <c r="Y136" s="509"/>
      <c r="Z136" s="509"/>
      <c r="AA136" s="509"/>
      <c r="AB136" s="509"/>
      <c r="AC136" s="509"/>
      <c r="AD136" s="509"/>
      <c r="AE136" s="509"/>
      <c r="AF136" s="509"/>
      <c r="AG136" s="510"/>
      <c r="AH136" s="509"/>
      <c r="AI136" s="509"/>
      <c r="AJ136" s="509"/>
      <c r="AK136" s="509"/>
      <c r="AL136" s="509"/>
      <c r="AM136" s="503"/>
      <c r="AN136" s="758"/>
      <c r="AO136" s="758"/>
      <c r="AP136" s="503"/>
      <c r="AQ136" s="503"/>
      <c r="AR136" s="503"/>
      <c r="AS136" s="503"/>
    </row>
    <row r="137" spans="2:45" ht="78.75" customHeight="1">
      <c r="B137" s="503"/>
      <c r="C137" s="503"/>
      <c r="D137" s="504"/>
      <c r="E137" s="504"/>
      <c r="F137" s="504"/>
      <c r="G137" s="504"/>
      <c r="H137" s="1014" t="s">
        <v>908</v>
      </c>
      <c r="I137" s="1015"/>
      <c r="J137" s="1015"/>
      <c r="K137" s="1016"/>
      <c r="L137" s="1015"/>
      <c r="M137" s="1014"/>
      <c r="N137" s="1016"/>
      <c r="O137" s="667"/>
      <c r="P137" s="790"/>
      <c r="Q137" s="790"/>
      <c r="R137" s="508"/>
      <c r="S137" s="509"/>
      <c r="T137" s="509"/>
      <c r="U137" s="509"/>
      <c r="V137" s="509"/>
      <c r="W137" s="509"/>
      <c r="X137" s="509"/>
      <c r="Y137" s="509"/>
      <c r="Z137" s="509"/>
      <c r="AA137" s="509"/>
      <c r="AB137" s="509"/>
      <c r="AC137" s="509"/>
      <c r="AD137" s="509"/>
      <c r="AE137" s="509"/>
      <c r="AF137" s="509"/>
      <c r="AG137" s="510"/>
      <c r="AH137" s="509"/>
      <c r="AI137" s="509"/>
      <c r="AJ137" s="509"/>
      <c r="AK137" s="509"/>
      <c r="AL137" s="509"/>
      <c r="AM137" s="503"/>
      <c r="AN137" s="758"/>
      <c r="AO137" s="758"/>
      <c r="AP137" s="503"/>
      <c r="AQ137" s="503"/>
      <c r="AR137" s="503"/>
      <c r="AS137" s="503"/>
    </row>
    <row r="138" spans="2:45" ht="20.25">
      <c r="B138" s="503"/>
      <c r="C138" s="503"/>
      <c r="D138" s="504"/>
      <c r="E138" s="504"/>
      <c r="F138" s="504"/>
      <c r="G138" s="504"/>
      <c r="H138" s="668"/>
      <c r="I138" s="669"/>
      <c r="J138" s="669"/>
      <c r="K138" s="669"/>
      <c r="L138" s="670"/>
      <c r="M138" s="669"/>
      <c r="N138" s="671"/>
      <c r="O138" s="666"/>
      <c r="P138" s="790"/>
      <c r="Q138" s="790"/>
      <c r="R138" s="508"/>
      <c r="S138" s="509"/>
      <c r="T138" s="509"/>
      <c r="U138" s="509"/>
      <c r="V138" s="509"/>
      <c r="W138" s="509"/>
      <c r="X138" s="509"/>
      <c r="Y138" s="509"/>
      <c r="Z138" s="509"/>
      <c r="AA138" s="509"/>
      <c r="AB138" s="509"/>
      <c r="AC138" s="509"/>
      <c r="AD138" s="509"/>
      <c r="AE138" s="509"/>
      <c r="AF138" s="509"/>
      <c r="AG138" s="510"/>
      <c r="AH138" s="509"/>
      <c r="AI138" s="509"/>
      <c r="AJ138" s="509"/>
      <c r="AK138" s="509"/>
      <c r="AL138" s="509"/>
      <c r="AM138" s="503"/>
      <c r="AN138" s="758"/>
      <c r="AO138" s="758"/>
      <c r="AP138" s="503"/>
      <c r="AQ138" s="503"/>
      <c r="AR138" s="503"/>
      <c r="AS138" s="503"/>
    </row>
    <row r="139" spans="2:45" ht="39" customHeight="1">
      <c r="B139" s="503"/>
      <c r="C139" s="503"/>
      <c r="D139" s="504"/>
      <c r="E139" s="504"/>
      <c r="F139" s="504"/>
      <c r="G139" s="504"/>
      <c r="H139" s="1014" t="s">
        <v>909</v>
      </c>
      <c r="I139" s="1015"/>
      <c r="J139" s="1015"/>
      <c r="K139" s="1016"/>
      <c r="L139" s="1015"/>
      <c r="M139" s="1014"/>
      <c r="N139" s="1016"/>
      <c r="O139" s="667"/>
      <c r="P139" s="790"/>
      <c r="Q139" s="790"/>
      <c r="R139" s="508"/>
      <c r="S139" s="509"/>
      <c r="T139" s="509"/>
      <c r="U139" s="509"/>
      <c r="V139" s="509"/>
      <c r="W139" s="509"/>
      <c r="X139" s="509"/>
      <c r="Y139" s="509"/>
      <c r="Z139" s="509"/>
      <c r="AA139" s="509"/>
      <c r="AB139" s="509"/>
      <c r="AC139" s="509"/>
      <c r="AD139" s="509"/>
      <c r="AE139" s="509"/>
      <c r="AF139" s="509"/>
      <c r="AG139" s="510"/>
      <c r="AH139" s="509"/>
      <c r="AI139" s="509"/>
      <c r="AJ139" s="509"/>
      <c r="AK139" s="509"/>
      <c r="AL139" s="509"/>
      <c r="AM139" s="503"/>
      <c r="AN139" s="758"/>
      <c r="AO139" s="758"/>
      <c r="AP139" s="503"/>
      <c r="AQ139" s="503"/>
      <c r="AR139" s="503"/>
      <c r="AS139" s="503"/>
    </row>
    <row r="140" spans="2:45" ht="20.25">
      <c r="B140" s="503"/>
      <c r="C140" s="503"/>
      <c r="D140" s="504"/>
      <c r="E140" s="504"/>
      <c r="F140" s="504"/>
      <c r="G140" s="504"/>
      <c r="H140" s="668"/>
      <c r="I140" s="669"/>
      <c r="J140" s="669"/>
      <c r="K140" s="669"/>
      <c r="L140" s="669"/>
      <c r="M140" s="669"/>
      <c r="N140" s="671"/>
      <c r="O140" s="666"/>
      <c r="P140" s="790"/>
      <c r="Q140" s="790"/>
      <c r="R140" s="508"/>
      <c r="S140" s="509"/>
      <c r="T140" s="509"/>
      <c r="U140" s="509"/>
      <c r="V140" s="509"/>
      <c r="W140" s="509"/>
      <c r="X140" s="509"/>
      <c r="Y140" s="509"/>
      <c r="Z140" s="509"/>
      <c r="AA140" s="509"/>
      <c r="AB140" s="509"/>
      <c r="AC140" s="509"/>
      <c r="AD140" s="509"/>
      <c r="AE140" s="509"/>
      <c r="AF140" s="509"/>
      <c r="AG140" s="510"/>
      <c r="AH140" s="509"/>
      <c r="AI140" s="509"/>
      <c r="AJ140" s="509"/>
      <c r="AK140" s="509"/>
      <c r="AL140" s="509"/>
      <c r="AM140" s="503"/>
      <c r="AN140" s="758"/>
      <c r="AO140" s="758"/>
      <c r="AP140" s="503"/>
      <c r="AQ140" s="503"/>
      <c r="AR140" s="503"/>
      <c r="AS140" s="503"/>
    </row>
    <row r="141" spans="2:45" ht="78" customHeight="1">
      <c r="B141" s="503"/>
      <c r="C141" s="503"/>
      <c r="D141" s="504"/>
      <c r="E141" s="504"/>
      <c r="F141" s="504"/>
      <c r="G141" s="504"/>
      <c r="H141" s="1014" t="s">
        <v>910</v>
      </c>
      <c r="I141" s="1015"/>
      <c r="J141" s="1015"/>
      <c r="K141" s="1016"/>
      <c r="L141" s="1015"/>
      <c r="M141" s="1014"/>
      <c r="N141" s="1016"/>
      <c r="O141" s="667"/>
      <c r="P141" s="790"/>
      <c r="Q141" s="790"/>
      <c r="R141" s="508"/>
      <c r="S141" s="509"/>
      <c r="T141" s="509"/>
      <c r="U141" s="509"/>
      <c r="V141" s="509"/>
      <c r="W141" s="509"/>
      <c r="X141" s="509"/>
      <c r="Y141" s="509"/>
      <c r="Z141" s="509"/>
      <c r="AA141" s="509"/>
      <c r="AB141" s="509"/>
      <c r="AC141" s="509"/>
      <c r="AD141" s="509"/>
      <c r="AE141" s="509"/>
      <c r="AF141" s="509"/>
      <c r="AG141" s="510"/>
      <c r="AH141" s="509"/>
      <c r="AI141" s="509"/>
      <c r="AJ141" s="509"/>
      <c r="AK141" s="509"/>
      <c r="AL141" s="509"/>
      <c r="AM141" s="503"/>
      <c r="AN141" s="758"/>
      <c r="AO141" s="758"/>
      <c r="AP141" s="503"/>
      <c r="AQ141" s="503"/>
      <c r="AR141" s="503"/>
      <c r="AS141" s="503"/>
    </row>
    <row r="142" spans="2:45" ht="24" customHeight="1">
      <c r="B142" s="503"/>
      <c r="C142" s="503"/>
      <c r="D142" s="504"/>
      <c r="E142" s="504"/>
      <c r="F142" s="504"/>
      <c r="G142" s="504"/>
      <c r="H142" s="567"/>
      <c r="I142" s="505"/>
      <c r="J142" s="505"/>
      <c r="K142" s="505"/>
      <c r="L142" s="505"/>
      <c r="M142" s="505"/>
      <c r="N142" s="672"/>
      <c r="O142" s="507"/>
      <c r="P142" s="790"/>
      <c r="Q142" s="790"/>
      <c r="R142" s="508"/>
      <c r="S142" s="509"/>
      <c r="T142" s="509"/>
      <c r="U142" s="509"/>
      <c r="V142" s="509"/>
      <c r="W142" s="509"/>
      <c r="X142" s="509"/>
      <c r="Y142" s="509"/>
      <c r="Z142" s="509"/>
      <c r="AA142" s="509"/>
      <c r="AB142" s="509"/>
      <c r="AC142" s="509"/>
      <c r="AD142" s="509"/>
      <c r="AE142" s="509"/>
      <c r="AF142" s="509"/>
      <c r="AG142" s="510"/>
      <c r="AH142" s="509"/>
      <c r="AI142" s="509"/>
      <c r="AJ142" s="509"/>
      <c r="AK142" s="509"/>
      <c r="AL142" s="509"/>
      <c r="AM142" s="503"/>
      <c r="AN142" s="758"/>
      <c r="AO142" s="758"/>
      <c r="AP142" s="503"/>
      <c r="AQ142" s="503"/>
      <c r="AR142" s="503"/>
      <c r="AS142" s="503"/>
    </row>
    <row r="143" spans="2:45" ht="24" customHeight="1">
      <c r="B143" s="503"/>
      <c r="C143" s="503"/>
      <c r="D143" s="504"/>
      <c r="E143" s="504"/>
      <c r="F143" s="504"/>
      <c r="G143" s="504"/>
      <c r="H143" s="673"/>
      <c r="I143" s="674" t="s">
        <v>911</v>
      </c>
      <c r="J143" s="505"/>
      <c r="K143" s="505"/>
      <c r="L143" s="505"/>
      <c r="M143" s="505"/>
      <c r="N143" s="672"/>
      <c r="O143" s="507"/>
      <c r="P143" s="790"/>
      <c r="Q143" s="790"/>
      <c r="R143" s="508"/>
      <c r="S143" s="509"/>
      <c r="T143" s="509"/>
      <c r="U143" s="509"/>
      <c r="V143" s="509"/>
      <c r="W143" s="509"/>
      <c r="X143" s="509"/>
      <c r="Y143" s="509"/>
      <c r="Z143" s="509"/>
      <c r="AA143" s="509"/>
      <c r="AB143" s="509"/>
      <c r="AC143" s="509"/>
      <c r="AD143" s="509"/>
      <c r="AE143" s="509"/>
      <c r="AF143" s="509"/>
      <c r="AG143" s="510"/>
      <c r="AH143" s="509"/>
      <c r="AI143" s="509"/>
      <c r="AJ143" s="509"/>
      <c r="AK143" s="509"/>
      <c r="AL143" s="509"/>
      <c r="AM143" s="503"/>
      <c r="AN143" s="758"/>
      <c r="AO143" s="758"/>
      <c r="AP143" s="503"/>
      <c r="AQ143" s="503"/>
      <c r="AR143" s="503"/>
      <c r="AS143" s="503"/>
    </row>
    <row r="144" spans="2:45" ht="24" customHeight="1">
      <c r="B144" s="503"/>
      <c r="C144" s="503"/>
      <c r="D144" s="504"/>
      <c r="E144" s="504"/>
      <c r="F144" s="504"/>
      <c r="G144" s="504"/>
      <c r="H144" s="673">
        <v>448</v>
      </c>
      <c r="I144" s="674" t="s">
        <v>912</v>
      </c>
      <c r="J144" s="505"/>
      <c r="K144" s="505"/>
      <c r="L144" s="505"/>
      <c r="M144" s="505"/>
      <c r="N144" s="672"/>
      <c r="O144" s="507"/>
      <c r="P144" s="790"/>
      <c r="Q144" s="790"/>
      <c r="R144" s="508"/>
      <c r="S144" s="509"/>
      <c r="T144" s="509"/>
      <c r="U144" s="509"/>
      <c r="V144" s="509"/>
      <c r="W144" s="509"/>
      <c r="X144" s="509"/>
      <c r="Y144" s="509"/>
      <c r="Z144" s="509"/>
      <c r="AA144" s="509"/>
      <c r="AB144" s="509"/>
      <c r="AC144" s="509"/>
      <c r="AD144" s="509"/>
      <c r="AE144" s="509"/>
      <c r="AF144" s="509"/>
      <c r="AG144" s="510"/>
      <c r="AH144" s="509"/>
      <c r="AI144" s="509"/>
      <c r="AJ144" s="509"/>
      <c r="AK144" s="509"/>
      <c r="AL144" s="509"/>
      <c r="AM144" s="503"/>
      <c r="AN144" s="758"/>
      <c r="AO144" s="758"/>
      <c r="AP144" s="503"/>
      <c r="AQ144" s="503"/>
      <c r="AR144" s="503"/>
      <c r="AS144" s="503"/>
    </row>
    <row r="145" spans="2:45" ht="20.25">
      <c r="B145" s="503"/>
      <c r="C145" s="503"/>
      <c r="D145" s="504"/>
      <c r="E145" s="504"/>
      <c r="F145" s="504"/>
      <c r="G145" s="504"/>
      <c r="H145" s="673">
        <v>523</v>
      </c>
      <c r="I145" s="674" t="s">
        <v>913</v>
      </c>
      <c r="J145" s="505"/>
      <c r="K145" s="505"/>
      <c r="L145" s="505"/>
      <c r="M145" s="505"/>
      <c r="N145" s="672"/>
      <c r="O145" s="507"/>
      <c r="P145" s="790"/>
      <c r="Q145" s="790"/>
      <c r="R145" s="508"/>
      <c r="S145" s="509"/>
      <c r="T145" s="509"/>
      <c r="U145" s="509"/>
      <c r="V145" s="509"/>
      <c r="W145" s="509"/>
      <c r="X145" s="509"/>
      <c r="Y145" s="509"/>
      <c r="Z145" s="509"/>
      <c r="AA145" s="509"/>
      <c r="AB145" s="509"/>
      <c r="AC145" s="509"/>
      <c r="AD145" s="509"/>
      <c r="AE145" s="509"/>
      <c r="AF145" s="509"/>
      <c r="AG145" s="510"/>
      <c r="AH145" s="509"/>
      <c r="AI145" s="509"/>
      <c r="AJ145" s="509"/>
      <c r="AK145" s="509"/>
      <c r="AL145" s="509"/>
      <c r="AM145" s="503"/>
      <c r="AN145" s="758"/>
      <c r="AO145" s="758"/>
      <c r="AP145" s="503"/>
      <c r="AQ145" s="503"/>
      <c r="AR145" s="503"/>
      <c r="AS145" s="503"/>
    </row>
    <row r="146" spans="2:45" ht="21" thickBot="1">
      <c r="B146" s="503"/>
      <c r="C146" s="503"/>
      <c r="D146" s="504"/>
      <c r="E146" s="504"/>
      <c r="F146" s="504"/>
      <c r="G146" s="504"/>
      <c r="H146" s="675">
        <v>598</v>
      </c>
      <c r="I146" s="676" t="s">
        <v>914</v>
      </c>
      <c r="J146" s="677"/>
      <c r="K146" s="677"/>
      <c r="L146" s="677"/>
      <c r="M146" s="677"/>
      <c r="N146" s="678"/>
      <c r="O146" s="507"/>
      <c r="P146" s="790"/>
      <c r="Q146" s="790"/>
      <c r="R146" s="508"/>
      <c r="S146" s="509"/>
      <c r="T146" s="509"/>
      <c r="U146" s="509"/>
      <c r="V146" s="509"/>
      <c r="W146" s="509"/>
      <c r="X146" s="509"/>
      <c r="Y146" s="509"/>
      <c r="Z146" s="509"/>
      <c r="AA146" s="509"/>
      <c r="AB146" s="509"/>
      <c r="AC146" s="509"/>
      <c r="AD146" s="509"/>
      <c r="AE146" s="509"/>
      <c r="AF146" s="509"/>
      <c r="AG146" s="510"/>
      <c r="AH146" s="509"/>
      <c r="AI146" s="509"/>
      <c r="AJ146" s="509"/>
      <c r="AK146" s="509"/>
      <c r="AL146" s="509"/>
      <c r="AM146" s="503"/>
      <c r="AN146" s="758"/>
      <c r="AO146" s="758"/>
      <c r="AP146" s="503"/>
      <c r="AQ146" s="503"/>
      <c r="AR146" s="503"/>
      <c r="AS146" s="503"/>
    </row>
    <row r="147" spans="2:45" ht="12.75" customHeight="1" thickTop="1">
      <c r="B147" s="758"/>
      <c r="C147" s="758"/>
      <c r="D147" s="758"/>
      <c r="E147" s="758"/>
      <c r="F147" s="758"/>
      <c r="G147" s="758"/>
      <c r="H147" s="758"/>
      <c r="I147" s="758"/>
      <c r="J147" s="758"/>
      <c r="K147" s="758"/>
      <c r="L147" s="758"/>
      <c r="M147" s="758"/>
      <c r="N147" s="758"/>
      <c r="O147" s="758"/>
      <c r="P147" s="758"/>
      <c r="Q147" s="758"/>
      <c r="R147" s="758"/>
      <c r="S147" s="758"/>
      <c r="T147" s="758"/>
      <c r="U147" s="758"/>
      <c r="V147" s="758"/>
      <c r="W147" s="758"/>
      <c r="X147" s="758"/>
      <c r="Y147" s="758"/>
      <c r="Z147" s="758"/>
      <c r="AA147" s="758"/>
      <c r="AB147" s="758"/>
      <c r="AC147" s="758"/>
      <c r="AD147" s="758"/>
      <c r="AE147" s="758"/>
      <c r="AF147" s="758"/>
      <c r="AG147" s="758"/>
      <c r="AH147" s="758"/>
      <c r="AI147" s="758"/>
      <c r="AJ147" s="758"/>
      <c r="AK147" s="758"/>
      <c r="AL147" s="758"/>
      <c r="AM147" s="758"/>
      <c r="AN147" s="758"/>
      <c r="AO147" s="758"/>
      <c r="AP147" s="758"/>
      <c r="AQ147" s="758"/>
      <c r="AR147" s="758"/>
      <c r="AS147" s="758"/>
    </row>
  </sheetData>
  <sheetProtection autoFilter="0"/>
  <autoFilter ref="B10:AL129" xr:uid="{00000000-0001-0000-0400-000000000000}">
    <filterColumn colId="1">
      <filters>
        <filter val="Yes"/>
      </filters>
    </filterColumn>
  </autoFilter>
  <mergeCells count="42">
    <mergeCell ref="H141:N141"/>
    <mergeCell ref="J133:K133"/>
    <mergeCell ref="L133:M133"/>
    <mergeCell ref="J134:K134"/>
    <mergeCell ref="L134:M134"/>
    <mergeCell ref="H137:N137"/>
    <mergeCell ref="H139:N139"/>
    <mergeCell ref="AL6:AL8"/>
    <mergeCell ref="H9:M9"/>
    <mergeCell ref="P87:S87"/>
    <mergeCell ref="J131:K131"/>
    <mergeCell ref="L131:M131"/>
    <mergeCell ref="AI6:AI8"/>
    <mergeCell ref="AJ6:AJ8"/>
    <mergeCell ref="AK6:AK8"/>
    <mergeCell ref="Y6:Y8"/>
    <mergeCell ref="H6:M8"/>
    <mergeCell ref="P6:P8"/>
    <mergeCell ref="Q6:Q8"/>
    <mergeCell ref="R6:R8"/>
    <mergeCell ref="S6:S8"/>
    <mergeCell ref="J132:K132"/>
    <mergeCell ref="L132:M132"/>
    <mergeCell ref="AF6:AF8"/>
    <mergeCell ref="AG6:AG8"/>
    <mergeCell ref="AH6:AH8"/>
    <mergeCell ref="Z6:Z8"/>
    <mergeCell ref="AA6:AA8"/>
    <mergeCell ref="AB6:AB8"/>
    <mergeCell ref="AC6:AC8"/>
    <mergeCell ref="AD6:AD8"/>
    <mergeCell ref="AE6:AE8"/>
    <mergeCell ref="T6:T8"/>
    <mergeCell ref="U6:U8"/>
    <mergeCell ref="V6:V8"/>
    <mergeCell ref="W6:W8"/>
    <mergeCell ref="X6:X8"/>
    <mergeCell ref="X2:AG2"/>
    <mergeCell ref="H3:I3"/>
    <mergeCell ref="P3:Q3"/>
    <mergeCell ref="H4:I4"/>
    <mergeCell ref="H5:M5"/>
  </mergeCells>
  <conditionalFormatting sqref="B33:D89 B125:C125 B9">
    <cfRule type="expression" dxfId="103" priority="14">
      <formula>_xlfn.ISFORMULA(B9)=FALSE</formula>
    </cfRule>
  </conditionalFormatting>
  <conditionalFormatting sqref="B93:D128 B129:E129">
    <cfRule type="expression" dxfId="102" priority="4">
      <formula>_xlfn.ISFORMULA(B93)=FALSE</formula>
    </cfRule>
  </conditionalFormatting>
  <conditionalFormatting sqref="B12:E21 B22:D30 G12:G30 F12:F129 E22:E128 B90:B92">
    <cfRule type="expression" dxfId="101" priority="15">
      <formula>_xlfn.ISFORMULA(B12)=FALSE</formula>
    </cfRule>
  </conditionalFormatting>
  <conditionalFormatting sqref="B11:G11">
    <cfRule type="expression" dxfId="100" priority="8">
      <formula>_xlfn.ISFORMULA(B11)=FALSE</formula>
    </cfRule>
  </conditionalFormatting>
  <conditionalFormatting sqref="C11:C30 C33:C129">
    <cfRule type="containsText" dxfId="99" priority="13" operator="containsText" text="No">
      <formula>NOT(ISERROR(SEARCH("No",C11)))</formula>
    </cfRule>
  </conditionalFormatting>
  <conditionalFormatting sqref="C15">
    <cfRule type="expression" dxfId="98" priority="7">
      <formula>_xlfn.ISFORMULA(C15)=FALSE</formula>
    </cfRule>
  </conditionalFormatting>
  <conditionalFormatting sqref="C33:C129 C11:C30">
    <cfRule type="containsText" dxfId="97" priority="3" operator="containsText" text="Review Needed">
      <formula>NOT(ISERROR(SEARCH("Review Needed",C11)))</formula>
    </cfRule>
  </conditionalFormatting>
  <conditionalFormatting sqref="C90:D90">
    <cfRule type="expression" dxfId="96" priority="2">
      <formula>_xlfn.ISFORMULA(C90)=FALSE</formula>
    </cfRule>
  </conditionalFormatting>
  <conditionalFormatting sqref="C91:D92">
    <cfRule type="expression" dxfId="95" priority="6">
      <formula>_xlfn.ISFORMULA(C91)=FALSE</formula>
    </cfRule>
  </conditionalFormatting>
  <conditionalFormatting sqref="G33:G129 D125">
    <cfRule type="expression" dxfId="94" priority="1">
      <formula>_xlfn.ISFORMULA(D33)=FALSE</formula>
    </cfRule>
  </conditionalFormatting>
  <conditionalFormatting sqref="O11 P26:AL28 P107:AL125">
    <cfRule type="containsErrors" dxfId="93" priority="17">
      <formula>ISERROR(O11)</formula>
    </cfRule>
  </conditionalFormatting>
  <conditionalFormatting sqref="O12:O14 O26:O28">
    <cfRule type="expression" dxfId="92" priority="80" stopIfTrue="1">
      <formula>ISERROR(SUM($P$13:$AL$13))</formula>
    </cfRule>
    <cfRule type="containsErrors" dxfId="91" priority="81">
      <formula>ISERROR(O12)</formula>
    </cfRule>
  </conditionalFormatting>
  <conditionalFormatting sqref="O15">
    <cfRule type="containsErrors" dxfId="90" priority="18">
      <formula>ISERROR(O15)</formula>
    </cfRule>
  </conditionalFormatting>
  <conditionalFormatting sqref="O23">
    <cfRule type="containsErrors" dxfId="89" priority="19">
      <formula>ISERROR(O23)</formula>
    </cfRule>
  </conditionalFormatting>
  <conditionalFormatting sqref="O24">
    <cfRule type="expression" dxfId="88" priority="76" stopIfTrue="1">
      <formula>ISERROR(SUM($P$13:$AL$13))</formula>
    </cfRule>
  </conditionalFormatting>
  <conditionalFormatting sqref="O25">
    <cfRule type="containsErrors" dxfId="87" priority="20">
      <formula>ISERROR(O25)</formula>
    </cfRule>
  </conditionalFormatting>
  <conditionalFormatting sqref="O36">
    <cfRule type="containsErrors" dxfId="86" priority="22">
      <formula>ISERROR(O36)</formula>
    </cfRule>
  </conditionalFormatting>
  <conditionalFormatting sqref="O36:O50">
    <cfRule type="cellIs" dxfId="85" priority="21" operator="lessThan">
      <formula>1</formula>
    </cfRule>
  </conditionalFormatting>
  <conditionalFormatting sqref="O37:O39">
    <cfRule type="expression" dxfId="84" priority="74" stopIfTrue="1">
      <formula>ISERROR(SUM($P$13:$AL$13))</formula>
    </cfRule>
  </conditionalFormatting>
  <conditionalFormatting sqref="O40">
    <cfRule type="containsErrors" dxfId="83" priority="23">
      <formula>ISERROR(O40)</formula>
    </cfRule>
  </conditionalFormatting>
  <conditionalFormatting sqref="O41:O42">
    <cfRule type="expression" dxfId="82" priority="72" stopIfTrue="1">
      <formula>ISERROR(SUM($P$13:$AL$13))</formula>
    </cfRule>
  </conditionalFormatting>
  <conditionalFormatting sqref="O43">
    <cfRule type="containsErrors" dxfId="81" priority="24">
      <formula>ISERROR(O43)</formula>
    </cfRule>
  </conditionalFormatting>
  <conditionalFormatting sqref="O44:O50">
    <cfRule type="expression" dxfId="80" priority="70" stopIfTrue="1">
      <formula>ISERROR(SUM($P$13:$AL$13))</formula>
    </cfRule>
    <cfRule type="containsErrors" dxfId="79" priority="71">
      <formula>ISERROR(O44)</formula>
    </cfRule>
  </conditionalFormatting>
  <conditionalFormatting sqref="O53">
    <cfRule type="containsErrors" dxfId="78" priority="26">
      <formula>ISERROR(O53)</formula>
    </cfRule>
  </conditionalFormatting>
  <conditionalFormatting sqref="O54:O56">
    <cfRule type="expression" dxfId="77" priority="68" stopIfTrue="1">
      <formula>ISERROR(SUM($P$13:$AL$13))</formula>
    </cfRule>
  </conditionalFormatting>
  <conditionalFormatting sqref="O57">
    <cfRule type="containsErrors" dxfId="76" priority="27">
      <formula>ISERROR(O57)</formula>
    </cfRule>
  </conditionalFormatting>
  <conditionalFormatting sqref="O58:O60">
    <cfRule type="expression" dxfId="75" priority="66" stopIfTrue="1">
      <formula>ISERROR(SUM($P$13:$AL$13))</formula>
    </cfRule>
  </conditionalFormatting>
  <conditionalFormatting sqref="O61">
    <cfRule type="containsErrors" dxfId="74" priority="28">
      <formula>ISERROR(O61)</formula>
    </cfRule>
  </conditionalFormatting>
  <conditionalFormatting sqref="O62:O64">
    <cfRule type="expression" dxfId="73" priority="64" stopIfTrue="1">
      <formula>ISERROR(SUM($P$13:$AL$13))</formula>
    </cfRule>
  </conditionalFormatting>
  <conditionalFormatting sqref="O65">
    <cfRule type="containsErrors" dxfId="72" priority="29">
      <formula>ISERROR(O65)</formula>
    </cfRule>
  </conditionalFormatting>
  <conditionalFormatting sqref="O66:O70">
    <cfRule type="expression" dxfId="71" priority="62" stopIfTrue="1">
      <formula>ISERROR(SUM($P$13:$AL$13))</formula>
    </cfRule>
  </conditionalFormatting>
  <conditionalFormatting sqref="O71">
    <cfRule type="containsErrors" dxfId="70" priority="30">
      <formula>ISERROR(O71)</formula>
    </cfRule>
  </conditionalFormatting>
  <conditionalFormatting sqref="O72">
    <cfRule type="expression" dxfId="69" priority="60" stopIfTrue="1">
      <formula>ISERROR(SUM($P$13:$AL$13))</formula>
    </cfRule>
    <cfRule type="containsErrors" dxfId="68" priority="61">
      <formula>ISERROR(O72)</formula>
    </cfRule>
  </conditionalFormatting>
  <conditionalFormatting sqref="O74">
    <cfRule type="containsErrors" dxfId="67" priority="32">
      <formula>ISERROR(O74)</formula>
    </cfRule>
  </conditionalFormatting>
  <conditionalFormatting sqref="O74:O89">
    <cfRule type="cellIs" dxfId="66" priority="31" operator="lessThan">
      <formula>1</formula>
    </cfRule>
  </conditionalFormatting>
  <conditionalFormatting sqref="O75:O77">
    <cfRule type="expression" dxfId="65" priority="58" stopIfTrue="1">
      <formula>ISERROR(SUM($P$13:$AL$13))</formula>
    </cfRule>
  </conditionalFormatting>
  <conditionalFormatting sqref="O78">
    <cfRule type="containsErrors" dxfId="64" priority="33">
      <formula>ISERROR(O78)</formula>
    </cfRule>
  </conditionalFormatting>
  <conditionalFormatting sqref="O79:O85">
    <cfRule type="expression" dxfId="63" priority="56" stopIfTrue="1">
      <formula>ISERROR(SUM($P$13:$AL$13))</formula>
    </cfRule>
  </conditionalFormatting>
  <conditionalFormatting sqref="O86">
    <cfRule type="containsErrors" dxfId="62" priority="34">
      <formula>ISERROR(O86)</formula>
    </cfRule>
  </conditionalFormatting>
  <conditionalFormatting sqref="O87">
    <cfRule type="expression" dxfId="61" priority="54" stopIfTrue="1">
      <formula>ISERROR(SUM($P$13:$AL$13))</formula>
    </cfRule>
  </conditionalFormatting>
  <conditionalFormatting sqref="O88">
    <cfRule type="containsErrors" dxfId="60" priority="35">
      <formula>ISERROR(O88)</formula>
    </cfRule>
  </conditionalFormatting>
  <conditionalFormatting sqref="O89">
    <cfRule type="expression" dxfId="59" priority="52" stopIfTrue="1">
      <formula>ISERROR(SUM($P$13:$AL$13))</formula>
    </cfRule>
  </conditionalFormatting>
  <conditionalFormatting sqref="O92 O16:O20">
    <cfRule type="expression" dxfId="58" priority="78" stopIfTrue="1">
      <formula>ISERROR(SUM($P$13:$AL$13))</formula>
    </cfRule>
  </conditionalFormatting>
  <conditionalFormatting sqref="O92:O93">
    <cfRule type="containsErrors" dxfId="57" priority="36">
      <formula>ISERROR(O92)</formula>
    </cfRule>
  </conditionalFormatting>
  <conditionalFormatting sqref="O94">
    <cfRule type="expression" dxfId="56" priority="50" stopIfTrue="1">
      <formula>ISERROR(SUM($P$13:$AL$13))</formula>
    </cfRule>
  </conditionalFormatting>
  <conditionalFormatting sqref="O95">
    <cfRule type="containsErrors" dxfId="55" priority="37">
      <formula>ISERROR(O95)</formula>
    </cfRule>
  </conditionalFormatting>
  <conditionalFormatting sqref="O96:O97">
    <cfRule type="expression" dxfId="54" priority="48" stopIfTrue="1">
      <formula>ISERROR(SUM($P$13:$AL$13))</formula>
    </cfRule>
  </conditionalFormatting>
  <conditionalFormatting sqref="O98">
    <cfRule type="containsErrors" dxfId="53" priority="38">
      <formula>ISERROR(O98)</formula>
    </cfRule>
  </conditionalFormatting>
  <conditionalFormatting sqref="O99:O104">
    <cfRule type="expression" dxfId="52" priority="46" stopIfTrue="1">
      <formula>ISERROR(SUM($P$13:$AL$13))</formula>
    </cfRule>
    <cfRule type="containsErrors" dxfId="51" priority="47">
      <formula>ISERROR(O99)</formula>
    </cfRule>
  </conditionalFormatting>
  <conditionalFormatting sqref="O106">
    <cfRule type="containsErrors" dxfId="50" priority="10">
      <formula>ISERROR(O106)</formula>
    </cfRule>
  </conditionalFormatting>
  <conditionalFormatting sqref="O106:O118">
    <cfRule type="cellIs" dxfId="49" priority="9" operator="lessThan">
      <formula>1</formula>
    </cfRule>
  </conditionalFormatting>
  <conditionalFormatting sqref="O107:O118">
    <cfRule type="expression" dxfId="48" priority="11" stopIfTrue="1">
      <formula>ISERROR(SUM($P$13:$AL$13))</formula>
    </cfRule>
    <cfRule type="containsErrors" dxfId="47" priority="12">
      <formula>ISERROR(O107)</formula>
    </cfRule>
  </conditionalFormatting>
  <conditionalFormatting sqref="O126">
    <cfRule type="containsErrors" dxfId="46" priority="40">
      <formula>ISERROR(O126)</formula>
    </cfRule>
  </conditionalFormatting>
  <conditionalFormatting sqref="O126:O129">
    <cfRule type="cellIs" dxfId="45" priority="39" operator="lessThan">
      <formula>1</formula>
    </cfRule>
  </conditionalFormatting>
  <conditionalFormatting sqref="O127">
    <cfRule type="expression" dxfId="44" priority="44" stopIfTrue="1">
      <formula>ISERROR(SUM($P$13:$AL$13))</formula>
    </cfRule>
    <cfRule type="containsErrors" dxfId="43" priority="45">
      <formula>ISERROR(O127)</formula>
    </cfRule>
  </conditionalFormatting>
  <conditionalFormatting sqref="O128">
    <cfRule type="containsErrors" dxfId="42" priority="41">
      <formula>ISERROR(O128)</formula>
    </cfRule>
  </conditionalFormatting>
  <conditionalFormatting sqref="O129">
    <cfRule type="expression" dxfId="41" priority="42" stopIfTrue="1">
      <formula>ISERROR(SUM($P$13:$AL$13))</formula>
    </cfRule>
    <cfRule type="containsErrors" dxfId="40" priority="43">
      <formula>ISERROR(O129)</formula>
    </cfRule>
  </conditionalFormatting>
  <conditionalFormatting sqref="O87:P87">
    <cfRule type="containsErrors" dxfId="39" priority="55">
      <formula>ISERROR(O87)</formula>
    </cfRule>
  </conditionalFormatting>
  <conditionalFormatting sqref="O11:AL14 O15:O20 O23:O28 O90:AH91 Q92:AL92 O92:O104 P93:AL128">
    <cfRule type="cellIs" dxfId="38" priority="16" operator="lessThan">
      <formula>1</formula>
    </cfRule>
  </conditionalFormatting>
  <conditionalFormatting sqref="O16:AL20">
    <cfRule type="containsErrors" dxfId="37" priority="79">
      <formula>ISERROR(O16)</formula>
    </cfRule>
  </conditionalFormatting>
  <conditionalFormatting sqref="O24:AL24">
    <cfRule type="containsErrors" dxfId="36" priority="77">
      <formula>ISERROR(O24)</formula>
    </cfRule>
  </conditionalFormatting>
  <conditionalFormatting sqref="O37:AL39">
    <cfRule type="containsErrors" dxfId="35" priority="75">
      <formula>ISERROR(O37)</formula>
    </cfRule>
  </conditionalFormatting>
  <conditionalFormatting sqref="O41:AL42">
    <cfRule type="containsErrors" dxfId="34" priority="73">
      <formula>ISERROR(O41)</formula>
    </cfRule>
  </conditionalFormatting>
  <conditionalFormatting sqref="O54:AL56">
    <cfRule type="containsErrors" dxfId="33" priority="69">
      <formula>ISERROR(O54)</formula>
    </cfRule>
  </conditionalFormatting>
  <conditionalFormatting sqref="O58:AL60">
    <cfRule type="containsErrors" dxfId="32" priority="67">
      <formula>ISERROR(O58)</formula>
    </cfRule>
  </conditionalFormatting>
  <conditionalFormatting sqref="O62:AL64">
    <cfRule type="containsErrors" dxfId="31" priority="65">
      <formula>ISERROR(O62)</formula>
    </cfRule>
  </conditionalFormatting>
  <conditionalFormatting sqref="O66:AL70">
    <cfRule type="containsErrors" dxfId="30" priority="63">
      <formula>ISERROR(O66)</formula>
    </cfRule>
  </conditionalFormatting>
  <conditionalFormatting sqref="O75:AL77">
    <cfRule type="containsErrors" dxfId="29" priority="59">
      <formula>ISERROR(O75)</formula>
    </cfRule>
  </conditionalFormatting>
  <conditionalFormatting sqref="O79:AL85">
    <cfRule type="containsErrors" dxfId="28" priority="57">
      <formula>ISERROR(O79)</formula>
    </cfRule>
  </conditionalFormatting>
  <conditionalFormatting sqref="O89:AL89 Q92:AL92">
    <cfRule type="containsErrors" dxfId="27" priority="53">
      <formula>ISERROR(O89)</formula>
    </cfRule>
  </conditionalFormatting>
  <conditionalFormatting sqref="O94:AL94">
    <cfRule type="containsErrors" dxfId="26" priority="51">
      <formula>ISERROR(O94)</formula>
    </cfRule>
  </conditionalFormatting>
  <conditionalFormatting sqref="O96:AL97">
    <cfRule type="containsErrors" dxfId="25" priority="49">
      <formula>ISERROR(O96)</formula>
    </cfRule>
  </conditionalFormatting>
  <conditionalFormatting sqref="P26:P27">
    <cfRule type="cellIs" dxfId="24" priority="83" operator="lessThan">
      <formula>1</formula>
    </cfRule>
    <cfRule type="expression" dxfId="23" priority="84" stopIfTrue="1">
      <formula>_xludf.ISERROR</formula>
    </cfRule>
  </conditionalFormatting>
  <conditionalFormatting sqref="P12:AL12">
    <cfRule type="expression" dxfId="22" priority="85" stopIfTrue="1">
      <formula>ISERROR(SUM($P$12:$AL$12))</formula>
    </cfRule>
  </conditionalFormatting>
  <conditionalFormatting sqref="P12:AL14 P44:AL52 P72:AL73 T87:AL87 P99:AL105 P127:AL128">
    <cfRule type="containsErrors" dxfId="21" priority="87">
      <formula>ISERROR(P12)</formula>
    </cfRule>
  </conditionalFormatting>
  <conditionalFormatting sqref="P13:AL14">
    <cfRule type="expression" dxfId="20" priority="86" stopIfTrue="1">
      <formula>ISERROR(SUM($P$13:$AL$13))</formula>
    </cfRule>
  </conditionalFormatting>
  <conditionalFormatting sqref="P15:AL30 P33:AL89 O53:O72">
    <cfRule type="cellIs" dxfId="19" priority="25" operator="lessThan">
      <formula>1</formula>
    </cfRule>
  </conditionalFormatting>
  <conditionalFormatting sqref="P20:AL20">
    <cfRule type="cellIs" dxfId="18" priority="82" operator="equal">
      <formula>ISERROR(P20)</formula>
    </cfRule>
  </conditionalFormatting>
  <conditionalFormatting sqref="P22:AL22">
    <cfRule type="containsErrors" dxfId="17" priority="5">
      <formula>ISERROR(P22)</formula>
    </cfRule>
  </conditionalFormatting>
  <hyperlinks>
    <hyperlink ref="I54" location="'New Wet Labs - M'!A1" display="'New Wet Labs - M'!A1" xr:uid="{D359DD39-A3C6-4F61-B6C3-667C07EC60DE}"/>
    <hyperlink ref="I56" location="'Ren Wet Labs'!A1" display="'Ren Wet Labs'!A1" xr:uid="{1FE3AE75-54CB-48A1-B2AF-4A6A52E99C42}"/>
    <hyperlink ref="I55" location="'New Wet Labs - H'!A1" display="'New Wet Labs - H'!A1" xr:uid="{67016CF0-3EBC-43CB-99E4-DA7F9989AF4D}"/>
    <hyperlink ref="I99" location="'New Theaters'!A1" display="'New Theaters'!A1" xr:uid="{3BCE97B4-C81C-4673-9F52-B6EAED6E0420}"/>
    <hyperlink ref="I62" location="'New Libraries'!A1" display="'New Libraries'!A1" xr:uid="{76F19764-3D49-44EF-B1D3-1405517700B8}"/>
    <hyperlink ref="I63" location="'Ren Libraries'!A1" display="'Ren Libraries'!A1" xr:uid="{460D4E12-1C97-4281-B586-B1BC3A47BF14}"/>
    <hyperlink ref="I30" location="Equipment!A1" display="Equipment!A1" xr:uid="{2CF070A6-8DE2-4F69-A0AE-0B4F72908E13}"/>
    <hyperlink ref="I58" location="'Research Labs'!A1" display="Research Labs" xr:uid="{69628617-2E06-4F9B-B723-23F176425876}"/>
    <hyperlink ref="I59" location="'Research Lab Additions'!A1" display="'Research Lab Additions'!A1" xr:uid="{EED603F2-E7F0-480E-850E-ADE97E7CAF14}"/>
    <hyperlink ref="I19" location="'Ren CR - H'!A1" display="'Ren CR - H'!A1" xr:uid="{BC0B5599-FA01-4427-8615-C0B3D9C257E5}"/>
    <hyperlink ref="I72" location="'Multipurpose Center'!A1" display="Multipurpose Center" xr:uid="{B3200AC3-A9C2-4EB2-B1D6-7B35CE9215C1}"/>
    <hyperlink ref="I124" location="'Equipment - Labs'!A1" display="Equipment - Labs" xr:uid="{5DA97529-CEFE-4833-903A-BA8244EEE6B5}"/>
    <hyperlink ref="I89" location="'Parking Structure'!A1" display="New Parking Structure" xr:uid="{F9FB7987-823B-4F04-BF96-C0E6E870805A}"/>
    <hyperlink ref="I96" location="'Student Centers'!A1" display="Student Centers" xr:uid="{9DBB7A72-7E98-479D-8CA5-3893830C2E8C}"/>
    <hyperlink ref="I68" location="'New-Medical'!A1" display="'New-Medical'!A1" xr:uid="{5312661E-2BD2-4B2D-BD26-1B1490BB5848}"/>
    <hyperlink ref="I34" location="'HVAC-Mechanical Upgrades'!A1" display="'HVAC-Mechanical Upgrades'!A1" xr:uid="{77630FC0-F158-452C-B5A9-28574A560C37}"/>
    <hyperlink ref="I94" location="Roofing!A1" display="Roofing!A1" xr:uid="{33DD859B-1A8E-42D7-B2CC-5DF69B8C59C2}"/>
    <hyperlink ref="I75" location="'New Museums'!A1" display="'New Museums'!A1" xr:uid="{08430A23-27B1-48D2-95D6-624495894B18}"/>
    <hyperlink ref="I87" location="Parking!A1" display="Parking" xr:uid="{F38CF53C-1619-49E7-981A-0C413738FB11}"/>
    <hyperlink ref="I70" location="'Ren Medical'!A1" display="Ren Hospital" xr:uid="{4B3F80C1-B1BF-42C0-9FA5-30376E5A1852}"/>
    <hyperlink ref="I60" location="'Research Lab Renovations - H'!A1" display="'Research Lab Renovations - H'!A1" xr:uid="{9AF62716-94ED-4D29-A6DE-2DF141ADA352}"/>
    <hyperlink ref="I105" location="Template!A1" display="Template!A1" xr:uid="{06467E74-1B91-4D76-925E-3B3F1AAB6398}"/>
    <hyperlink ref="I52" location="'Ren Recording Studio Lab'!Print_Area" display="'Ren Recording Studio Lab'!Print_Area" xr:uid="{F20BDDD7-0E1C-409C-B056-9F2AF5206847}"/>
    <hyperlink ref="I51" location="'New Recording Studio Lab'!Print_Area" display="'New Recording Studio Lab'!Print_Area" xr:uid="{BE5DCE8C-A14A-4081-8AE6-A7C87978D921}"/>
    <hyperlink ref="I101" location="'Ren Theaters - M'!A1" display="'Ren Theaters - M'!A1" xr:uid="{7747A4B6-9989-417B-85E0-436E01DBC7CC}"/>
    <hyperlink ref="I26" location="'New Dorm'!A1" display="'New Dorm'!A1" xr:uid="{2EAA730B-34F6-4036-B659-00CB45BAC731}"/>
    <hyperlink ref="I97" location="'Ren Student Centers'!A1" display="Ren Student Centers" xr:uid="{AAE3D7DF-334E-4B6D-80BC-7BB9D135969E}"/>
    <hyperlink ref="I24" location="'Ren Court'!A1" display="Ren Court" xr:uid="{466F6EBB-1DBC-4749-AF14-ECA963599CF7}"/>
    <hyperlink ref="I129" location="WWTP!A1" display="WWTP:" xr:uid="{7183B5D9-F4B5-4C69-91D6-F2CAE5D82B02}"/>
    <hyperlink ref="I79" location="'New Office Building'!A1" display="New Office Building" xr:uid="{A632220D-551B-4FD5-99F1-A027829CB263}"/>
    <hyperlink ref="I127" location="'Visitors Centers'!A1" display="'Visitors Centers'!A1" xr:uid="{ADDDB724-B916-4E33-BE81-BD63CB06A17A}"/>
    <hyperlink ref="I102" location="'Ren Theaters - H'!A1" display="'Ren Theaters - H'!A1" xr:uid="{94913A7F-DD72-4CE0-BC0A-29B59EA667B5}"/>
    <hyperlink ref="I17" location="'Ren CR - L'!A1" display="'Ren CR - L'!A1" xr:uid="{7AB97A05-5229-424C-AE0C-17D78B9A1CD3}"/>
    <hyperlink ref="I18" location="'Ren CR - M'!A1" display="'Ren CR - M'!A1" xr:uid="{25A519D3-9A65-4511-B156-02497CCBEEE1}"/>
    <hyperlink ref="I20" location="'Ren CR - Historic'!A1" display="'Ren CR - Historic'!A1" xr:uid="{02194601-5558-4CE3-9723-22BCA74B4586}"/>
    <hyperlink ref="I37" location="'New Dining Hall'!A1" display="'New Dining Hall'!A1" xr:uid="{366872C5-44A9-4058-8683-7DF8BE68DE18}"/>
    <hyperlink ref="I38" location="'Ren Dining Hall'!A1" display="'Ren Dining Hall'!A1" xr:uid="{1596F845-55FA-4E62-86F5-7071B8EAD312}"/>
    <hyperlink ref="I39" location="'New Restaurant'!A1" display="'New Restaurant'!A1" xr:uid="{20FF96AA-B7BE-493E-B07F-7CB1EC2FE682}"/>
    <hyperlink ref="I41" location="'New Gym'!A1" display="'New Gym'!A1" xr:uid="{0C4591AD-B6A0-442C-9C3A-621FB7D06A25}"/>
    <hyperlink ref="I44" location="'New Dry Labs - L'!A1" display="'New Dry Labs - L'!A1" xr:uid="{32194A87-ABFA-4A39-B036-F44EA17A4F73}"/>
    <hyperlink ref="I45" location="'New Dry Labs - M'!A1" display="'New Dry Labs - M'!A1" xr:uid="{B9B288AC-DA39-45E9-B9A8-EC2E7204B0B4}"/>
    <hyperlink ref="I46" location="'New Dry Labs - H'!A1" display="'New Dry Labs - H'!A1" xr:uid="{80D4C0EA-13A3-470F-A1FE-69492CABC86A}"/>
    <hyperlink ref="I47" location="'New Dry Lab - Automotive'!A1" display="'New Dry Lab - Automotive'!A1" xr:uid="{468AFAD9-ADD6-455C-9E40-BA09B733E403}"/>
    <hyperlink ref="I48" location="'Ren Dry Lab - L'!A1" display="'Ren Dry Lab - L'!A1" xr:uid="{98C6B836-D7E4-4CE8-935E-5B8ABFCA6200}"/>
    <hyperlink ref="I49" location="'Ren Dry Lab - M'!A1" display="'Ren Dry Lab - M'!A1" xr:uid="{CDEE57A0-12E4-4F02-BC5B-DAF157DEB06A}"/>
    <hyperlink ref="I50" location="'Ren Dry Lab - H'!A1" display="'Ren Dry Lab - H'!A1" xr:uid="{FBD08E2A-050B-40E2-97E4-BE0E770713A1}"/>
    <hyperlink ref="I64" location="'Ren-Add Libraries'!A1" display="'Ren-Add Libraries'!A1" xr:uid="{52DABEC0-EEF2-4C51-83FA-B40F24B4ACB0}"/>
    <hyperlink ref="I76" location="'New Museums'!A1" display="'New Museums'!A1" xr:uid="{A3390A8A-2326-45B1-9A9C-3411C8C9038E}"/>
    <hyperlink ref="I77" location="'New Museums'!A1" display="'New Museums'!A1" xr:uid="{C46C3B90-DE89-4A75-9539-6280FF1C0AE3}"/>
    <hyperlink ref="I80:I83" location="'New Office Building'!A1" display="New Office Building" xr:uid="{394E5332-9853-40D0-A584-C804F8BD2E1B}"/>
    <hyperlink ref="I84" location="'Ren Office - H'!A1" display="'Ren Office - H'!A1" xr:uid="{860995D1-FCF2-438E-A823-638489B97002}"/>
    <hyperlink ref="I83" location="'Ren Office - M'!A1" display="'Ren Office - M'!A1" xr:uid="{C5C8370D-35F9-48C2-A49D-31330C291FAF}"/>
    <hyperlink ref="I82" location="'Ren Office - L'!A1" display="'Ren Office - L'!A1" xr:uid="{E036C941-B94C-4037-92D9-49F18FCB52C9}"/>
    <hyperlink ref="I81" location="'New-Ren Office 50-50'!A1" display="'New-Ren Office 50-50'!A1" xr:uid="{A115BFFD-DFC9-4BBB-88F9-8E1CB0F07A9C}"/>
    <hyperlink ref="I80" location="'New Small Off Add'!A1" display="'New Small Off Add'!A1" xr:uid="{3341A8CA-7099-44C8-94A9-3320CB3266E0}"/>
    <hyperlink ref="I100" location="'Ren Theaters - M'!A1" display="'Ren Theaters - M'!A1" xr:uid="{BA697BD2-74D7-45F5-BBDD-C330A6D69F9A}"/>
    <hyperlink ref="I66" location="'New Mental Health Facility'!A1" display="'New Mental Health Facility'!A1" xr:uid="{753EC3F4-09EB-436A-A4A0-C06F33751F64}"/>
    <hyperlink ref="I67" location="'New Mental Health Clinic'!A1" display="'New Mental Health Clinic'!A1" xr:uid="{5C630691-3DC7-4BA5-8413-55EC2AC507DF}"/>
    <hyperlink ref="I103" location="'Fine Arts Centers'!A1" display="'Fine Arts Centers'!A1" xr:uid="{DD2D033B-910F-4F0E-A156-C463A4BCDD0B}"/>
    <hyperlink ref="I104" location="'Performing Arts Centers'!A1" display="'Performing Arts Centers'!A1" xr:uid="{8DF5E936-A8AB-42A8-8348-9A05906D426E}"/>
    <hyperlink ref="I143" location="'ADA Additions'!A1" display="ADA Additions" xr:uid="{4A759C88-7AA1-4894-A27C-1FA69FCEE982}"/>
    <hyperlink ref="I85" location="'Office Tenant Upfit - M'!A1" display="'Office Tenant Upfit - M'!A1" xr:uid="{95E04173-C2F8-4FE8-814C-46BD5459C805}"/>
    <hyperlink ref="N5" r:id="rId1" xr:uid="{C43DB268-2DD6-4545-BED7-F93DA6841737}"/>
    <hyperlink ref="N6" r:id="rId2" xr:uid="{7D9BA34A-1EBB-474D-99DD-8F5B038A6593}"/>
    <hyperlink ref="N7" r:id="rId3" display="CR-1 Example" xr:uid="{AA22967A-9C38-4809-B22A-AFD33E9FB242}"/>
    <hyperlink ref="N8" r:id="rId4" xr:uid="{66AB5397-BC06-44A3-B0CC-AC3B682BD2CF}"/>
    <hyperlink ref="I16" location="'New CR '!A1" display="'New CR '!A1" xr:uid="{9D5B52A4-524A-4566-906D-B46AA48EF68B}"/>
    <hyperlink ref="D12" location="'Chiller Plants - Equip. Only'!A1" display="'Chiller Plants - Equip. Only'!A1" xr:uid="{8563B9BD-F483-425F-9814-C5CBD9F5C50A}"/>
    <hyperlink ref="D13" location="'Chiller Plants - incl. Building'!A1" display="'Chiller Plants - incl. Building'!A1" xr:uid="{2FFA20AA-E809-48E2-9F1C-B750A5CD1C11}"/>
    <hyperlink ref="I27" location="'New Dorm'!A1" display="'New Dorm'!A1" xr:uid="{3FF4357B-8039-4965-B27D-B74EC043E30F}"/>
    <hyperlink ref="I28" location="'New Dorm'!A1" display="'New Dorm'!A1" xr:uid="{5972709A-0E6C-4EB2-8F5B-3956C9DFC8E0}"/>
    <hyperlink ref="I107" location="'New Theaters'!A1" display="'New Theaters'!A1" xr:uid="{4B70F13F-C0A6-45E2-887C-99BED95BF09E}"/>
    <hyperlink ref="I108" location="'New Theaters'!A1" display="'New Theaters'!A1" xr:uid="{ED2C54FD-4CB8-478C-BA97-4758748BA45D}"/>
    <hyperlink ref="I109" location="'New Theaters'!A1" display="'New Theaters'!A1" xr:uid="{7E1E7A98-80BB-44D5-9AD1-00D75ECC60D3}"/>
    <hyperlink ref="I110" location="'New Theaters'!A1" display="'New Theaters'!A1" xr:uid="{041495C2-A582-46AE-8498-6D036D4EE785}"/>
    <hyperlink ref="I112" location="'New Theaters'!A1" display="'New Theaters'!A1" xr:uid="{85ABF048-D4C9-4F11-9D10-84025CDC47A6}"/>
    <hyperlink ref="I113" location="'New Theaters'!A1" display="'New Theaters'!A1" xr:uid="{804E936F-BFC1-4630-B162-CE9173398CCA}"/>
    <hyperlink ref="I114" location="'New Theaters'!A1" display="'New Theaters'!A1" xr:uid="{2AF358DC-4868-4766-AD7D-7CF82DAE25F2}"/>
    <hyperlink ref="I116" location="'New Theaters'!A1" display="'New Theaters'!A1" xr:uid="{E9E96E91-3395-4518-8EED-00ECBBF8750F}"/>
    <hyperlink ref="I118" location="'New Theaters'!A1" display="'New Theaters'!A1" xr:uid="{40A7329A-6E5D-49F1-A2AB-0D3CAC69BEDA}"/>
    <hyperlink ref="I119" location="'New Theaters'!A1" display="'New Theaters'!A1" xr:uid="{E7CB1E67-9970-48AB-BC8F-AB8D8C1823A9}"/>
    <hyperlink ref="Q89" location="'Ren Readiness Center'!A1" display="'Ren Readiness Center'!A1" xr:uid="{5FB0F1B8-6585-4956-8CFE-DAC71A09156D}"/>
    <hyperlink ref="D14" location="'Chiller Plants - incl. Building'!A1" display="'Chiller Plants - incl. Building'!A1" xr:uid="{1138EAD7-788C-43B9-A194-E4F098C4BB6A}"/>
    <hyperlink ref="I91:I92" location="'Parking Structure'!A1" display="New Parking Structure" xr:uid="{A82FB46C-AB3F-4231-8917-8EBFC8C02124}"/>
    <hyperlink ref="I22" location="'New Correctional Facilities'!A1" display="'New Correctional Facilities'!A1" xr:uid="{2159B18A-AADC-4CD8-AC83-56A68F3FAF61}"/>
    <hyperlink ref="I69" location="'Ren Medical'!A1" display="Ren Hospital" xr:uid="{52C7D720-A19F-4EAA-B67D-B5AE075C7BD2}"/>
    <hyperlink ref="I117" location="'New Theaters'!A1" display="'New Theaters'!A1" xr:uid="{A46E0CA2-AB32-4CAC-84D2-5DBE20DB925B}"/>
    <hyperlink ref="I111" location="'New Theaters'!A1" display="'New Theaters'!A1" xr:uid="{BD7D81A8-8AEB-49AB-850B-FBF37C6160FC}"/>
    <hyperlink ref="I115" location="'New Theaters'!A1" display="'New Theaters'!A1" xr:uid="{670CEEEA-5276-49B3-BB00-6E0D1FAF5B2B}"/>
    <hyperlink ref="I120" location="'New Theaters'!A1" display="'New Theaters'!A1" xr:uid="{9A451223-33A3-46E4-AD29-5E9D196381B0}"/>
    <hyperlink ref="C2" r:id="rId5" xr:uid="{44341B45-4A72-49A7-AE7F-A088423FE47D}"/>
    <hyperlink ref="D9" r:id="rId6" xr:uid="{4BE375CD-C19F-46A9-8841-35374EE4AA60}"/>
  </hyperlinks>
  <printOptions horizontalCentered="1" verticalCentered="1"/>
  <pageMargins left="0" right="0" top="0" bottom="0" header="0" footer="0"/>
  <pageSetup paperSize="17" scale="63" fitToHeight="0" orientation="portrait" r:id="rId7"/>
  <headerFooter alignWithMargins="0">
    <oddFooter>&amp;L&amp;"Arial,Bold"VBCCD - 2026&amp;Rpage &amp;P of &amp;N</oddFooter>
  </headerFooter>
  <rowBreaks count="1" manualBreakCount="1">
    <brk id="70" min="7" max="13" man="1"/>
  </rowBreaks>
  <drawing r:id="rId8"/>
  <legacyDrawing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C70"/>
  <sheetViews>
    <sheetView showGridLines="0" workbookViewId="0">
      <selection activeCell="C22" sqref="C22"/>
    </sheetView>
  </sheetViews>
  <sheetFormatPr defaultColWidth="9.140625" defaultRowHeight="12.75"/>
  <cols>
    <col min="1" max="2" width="4.7109375" style="93" customWidth="1"/>
    <col min="3" max="3" width="111.7109375" style="93" customWidth="1"/>
    <col min="4" max="4" width="4.7109375" style="93" customWidth="1"/>
    <col min="5" max="16384" width="9.140625" style="93"/>
  </cols>
  <sheetData>
    <row r="1" spans="1:3" ht="21.95" customHeight="1">
      <c r="A1" s="1021" t="s">
        <v>48</v>
      </c>
      <c r="B1" s="1022"/>
      <c r="C1" s="1022"/>
    </row>
    <row r="2" spans="1:3" ht="12.75" customHeight="1"/>
    <row r="3" spans="1:3" ht="12.75" customHeight="1">
      <c r="C3" s="434" t="s">
        <v>29</v>
      </c>
    </row>
    <row r="4" spans="1:3" ht="12.75" customHeight="1">
      <c r="B4" s="767"/>
    </row>
    <row r="5" spans="1:3" ht="12.75" customHeight="1">
      <c r="A5" s="166"/>
      <c r="B5" s="166"/>
      <c r="C5" s="1019"/>
    </row>
    <row r="6" spans="1:3" ht="12.75" customHeight="1">
      <c r="A6" s="166"/>
      <c r="B6" s="166"/>
      <c r="C6" s="1020"/>
    </row>
    <row r="7" spans="1:3" ht="12.75" customHeight="1">
      <c r="A7" s="166"/>
      <c r="B7" s="166"/>
      <c r="C7" s="167" t="s">
        <v>32</v>
      </c>
    </row>
    <row r="8" spans="1:3" ht="12.75" customHeight="1">
      <c r="A8" s="166"/>
      <c r="B8" s="168"/>
      <c r="C8" s="166"/>
    </row>
    <row r="9" spans="1:3" ht="12.75" customHeight="1">
      <c r="A9" s="166"/>
      <c r="B9" s="166"/>
      <c r="C9" s="869"/>
    </row>
    <row r="10" spans="1:3" ht="12.75" customHeight="1">
      <c r="A10" s="166"/>
      <c r="B10" s="166"/>
      <c r="C10" s="869"/>
    </row>
    <row r="11" spans="1:3" ht="12.75" customHeight="1">
      <c r="A11" s="166"/>
      <c r="B11" s="166"/>
      <c r="C11" s="166"/>
    </row>
    <row r="12" spans="1:3" ht="12.75" customHeight="1">
      <c r="A12" s="166"/>
      <c r="B12" s="168"/>
      <c r="C12" s="166"/>
    </row>
    <row r="13" spans="1:3" ht="12.75" customHeight="1">
      <c r="A13" s="166"/>
      <c r="B13" s="166"/>
      <c r="C13" s="766"/>
    </row>
    <row r="14" spans="1:3" ht="12.75" customHeight="1">
      <c r="A14" s="166"/>
      <c r="B14" s="166"/>
      <c r="C14" s="166"/>
    </row>
    <row r="15" spans="1:3" ht="12.75" customHeight="1">
      <c r="A15" s="166"/>
      <c r="B15" s="168"/>
      <c r="C15" s="166"/>
    </row>
    <row r="16" spans="1:3" ht="12.75" customHeight="1">
      <c r="A16" s="166"/>
      <c r="B16" s="166"/>
      <c r="C16" s="766"/>
    </row>
    <row r="17" spans="1:3" ht="12.75" customHeight="1">
      <c r="A17" s="166"/>
      <c r="B17" s="166"/>
      <c r="C17" s="166"/>
    </row>
    <row r="18" spans="1:3" ht="12.75" customHeight="1">
      <c r="A18" s="166"/>
      <c r="B18" s="166"/>
      <c r="C18" s="166"/>
    </row>
    <row r="19" spans="1:3" ht="12.75" customHeight="1">
      <c r="A19" s="166"/>
      <c r="B19" s="166"/>
      <c r="C19" s="166"/>
    </row>
    <row r="20" spans="1:3" ht="12.75" customHeight="1">
      <c r="A20" s="166"/>
      <c r="B20" s="166"/>
      <c r="C20" s="166"/>
    </row>
    <row r="21" spans="1:3">
      <c r="A21" s="166"/>
      <c r="B21" s="166"/>
      <c r="C21" s="166"/>
    </row>
    <row r="22" spans="1:3">
      <c r="A22" s="166"/>
      <c r="B22" s="166"/>
      <c r="C22" s="166"/>
    </row>
    <row r="23" spans="1:3">
      <c r="A23" s="166"/>
      <c r="B23" s="166"/>
      <c r="C23" s="166"/>
    </row>
    <row r="24" spans="1:3">
      <c r="A24" s="166"/>
      <c r="B24" s="166"/>
      <c r="C24" s="166"/>
    </row>
    <row r="25" spans="1:3">
      <c r="A25" s="166"/>
      <c r="B25" s="166"/>
      <c r="C25" s="166"/>
    </row>
    <row r="26" spans="1:3">
      <c r="A26" s="166"/>
      <c r="B26" s="166"/>
      <c r="C26" s="166"/>
    </row>
    <row r="27" spans="1:3">
      <c r="A27" s="166"/>
      <c r="B27" s="166"/>
      <c r="C27" s="166"/>
    </row>
    <row r="28" spans="1:3">
      <c r="A28" s="166"/>
      <c r="B28" s="166"/>
      <c r="C28" s="166"/>
    </row>
    <row r="29" spans="1:3">
      <c r="A29" s="166"/>
      <c r="B29" s="166"/>
      <c r="C29" s="166"/>
    </row>
    <row r="30" spans="1:3">
      <c r="A30" s="166"/>
      <c r="B30" s="166"/>
      <c r="C30" s="166"/>
    </row>
    <row r="31" spans="1:3">
      <c r="A31" s="166"/>
      <c r="B31" s="166"/>
      <c r="C31" s="166"/>
    </row>
    <row r="32" spans="1:3">
      <c r="A32" s="166"/>
      <c r="B32" s="166"/>
      <c r="C32" s="166"/>
    </row>
    <row r="33" spans="1:3">
      <c r="A33" s="166"/>
      <c r="B33" s="166"/>
      <c r="C33" s="166"/>
    </row>
    <row r="34" spans="1:3">
      <c r="A34" s="166"/>
      <c r="B34" s="166"/>
      <c r="C34" s="166"/>
    </row>
    <row r="35" spans="1:3">
      <c r="A35" s="166"/>
      <c r="B35" s="166"/>
      <c r="C35" s="166"/>
    </row>
    <row r="36" spans="1:3">
      <c r="A36" s="166"/>
      <c r="B36" s="166"/>
      <c r="C36" s="166"/>
    </row>
    <row r="37" spans="1:3">
      <c r="A37" s="166"/>
      <c r="B37" s="166"/>
      <c r="C37" s="166"/>
    </row>
    <row r="38" spans="1:3">
      <c r="A38" s="166"/>
      <c r="B38" s="166"/>
      <c r="C38" s="166"/>
    </row>
    <row r="39" spans="1:3">
      <c r="A39" s="166"/>
      <c r="B39" s="166"/>
      <c r="C39" s="166"/>
    </row>
    <row r="40" spans="1:3">
      <c r="A40" s="166"/>
      <c r="B40" s="166"/>
      <c r="C40" s="166"/>
    </row>
    <row r="41" spans="1:3">
      <c r="A41" s="166"/>
      <c r="B41" s="166"/>
      <c r="C41" s="166"/>
    </row>
    <row r="42" spans="1:3">
      <c r="A42" s="166"/>
      <c r="B42" s="166"/>
      <c r="C42" s="166"/>
    </row>
    <row r="43" spans="1:3">
      <c r="A43" s="166"/>
      <c r="B43" s="166"/>
      <c r="C43" s="166"/>
    </row>
    <row r="44" spans="1:3">
      <c r="A44" s="166"/>
      <c r="B44" s="166"/>
      <c r="C44" s="166"/>
    </row>
    <row r="45" spans="1:3">
      <c r="A45" s="166"/>
      <c r="B45" s="166"/>
      <c r="C45" s="166"/>
    </row>
    <row r="46" spans="1:3">
      <c r="A46" s="166"/>
      <c r="B46" s="166"/>
      <c r="C46" s="166"/>
    </row>
    <row r="47" spans="1:3">
      <c r="A47" s="166"/>
      <c r="B47" s="166"/>
      <c r="C47" s="166"/>
    </row>
    <row r="48" spans="1:3">
      <c r="A48" s="166"/>
      <c r="B48" s="166"/>
      <c r="C48" s="166"/>
    </row>
    <row r="49" spans="1:3">
      <c r="A49" s="166"/>
      <c r="B49" s="166"/>
      <c r="C49" s="166"/>
    </row>
    <row r="50" spans="1:3">
      <c r="A50" s="166"/>
      <c r="B50" s="166"/>
      <c r="C50" s="166"/>
    </row>
    <row r="51" spans="1:3">
      <c r="A51" s="166"/>
      <c r="B51" s="166"/>
      <c r="C51" s="166"/>
    </row>
    <row r="52" spans="1:3">
      <c r="A52" s="166"/>
      <c r="B52" s="166"/>
      <c r="C52" s="166"/>
    </row>
    <row r="53" spans="1:3">
      <c r="A53" s="166"/>
      <c r="B53" s="166"/>
      <c r="C53" s="166"/>
    </row>
    <row r="54" spans="1:3">
      <c r="A54" s="166"/>
      <c r="B54" s="166"/>
      <c r="C54" s="166"/>
    </row>
    <row r="55" spans="1:3">
      <c r="A55" s="166"/>
      <c r="B55" s="166"/>
      <c r="C55" s="166"/>
    </row>
    <row r="56" spans="1:3">
      <c r="A56" s="166"/>
      <c r="B56" s="166"/>
      <c r="C56" s="166"/>
    </row>
    <row r="57" spans="1:3">
      <c r="A57" s="166"/>
      <c r="B57" s="166"/>
      <c r="C57" s="166"/>
    </row>
    <row r="58" spans="1:3">
      <c r="A58" s="166"/>
      <c r="B58" s="166"/>
      <c r="C58" s="166"/>
    </row>
    <row r="59" spans="1:3">
      <c r="A59" s="166"/>
      <c r="B59" s="166"/>
      <c r="C59" s="166"/>
    </row>
    <row r="60" spans="1:3">
      <c r="A60" s="166"/>
      <c r="B60" s="166"/>
      <c r="C60" s="166"/>
    </row>
    <row r="61" spans="1:3">
      <c r="A61" s="166"/>
      <c r="B61" s="166"/>
      <c r="C61" s="166"/>
    </row>
    <row r="62" spans="1:3">
      <c r="A62" s="166"/>
      <c r="B62" s="166"/>
      <c r="C62" s="166"/>
    </row>
    <row r="63" spans="1:3">
      <c r="A63" s="166"/>
      <c r="B63" s="166"/>
      <c r="C63" s="166"/>
    </row>
    <row r="64" spans="1:3">
      <c r="A64" s="166"/>
      <c r="B64" s="166"/>
      <c r="C64" s="166"/>
    </row>
    <row r="65" spans="1:3">
      <c r="A65" s="166"/>
      <c r="B65" s="166"/>
      <c r="C65" s="166"/>
    </row>
    <row r="66" spans="1:3">
      <c r="A66" s="166"/>
      <c r="B66" s="166"/>
      <c r="C66" s="166"/>
    </row>
    <row r="67" spans="1:3">
      <c r="A67" s="166"/>
      <c r="B67" s="166"/>
      <c r="C67" s="166"/>
    </row>
    <row r="68" spans="1:3">
      <c r="A68" s="166"/>
      <c r="B68" s="166"/>
      <c r="C68" s="166"/>
    </row>
    <row r="69" spans="1:3">
      <c r="A69" s="166"/>
      <c r="B69" s="166"/>
      <c r="C69" s="166"/>
    </row>
    <row r="70" spans="1:3">
      <c r="A70" s="166"/>
      <c r="B70" s="166"/>
      <c r="C70" s="166"/>
    </row>
  </sheetData>
  <sheetProtection autoFilter="0"/>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HF38"/>
  <sheetViews>
    <sheetView showGridLines="0" workbookViewId="0">
      <pane xSplit="1" ySplit="5" topLeftCell="GB6" activePane="bottomRight" state="frozen"/>
      <selection pane="bottomRight" activeCell="GO3" sqref="GO3"/>
      <selection pane="bottomLeft" activeCell="A6" sqref="A6"/>
      <selection pane="topRight" activeCell="B1" sqref="B1"/>
    </sheetView>
  </sheetViews>
  <sheetFormatPr defaultRowHeight="12.75"/>
  <cols>
    <col min="1" max="1" width="23.85546875" customWidth="1"/>
    <col min="188" max="188" width="11.7109375" customWidth="1"/>
    <col min="189" max="189" width="13.85546875" customWidth="1"/>
    <col min="198" max="198" width="10.28515625" bestFit="1" customWidth="1"/>
    <col min="201" max="201" width="10.28515625" bestFit="1" customWidth="1"/>
  </cols>
  <sheetData>
    <row r="1" spans="1:214" ht="21" customHeight="1" thickBot="1">
      <c r="A1" s="716"/>
      <c r="B1" s="759"/>
      <c r="C1" s="798"/>
      <c r="D1" s="798"/>
      <c r="E1" s="798"/>
      <c r="F1" s="798"/>
      <c r="G1" s="798"/>
      <c r="H1" s="798"/>
      <c r="I1" s="798"/>
      <c r="J1" s="798"/>
      <c r="K1" s="798"/>
      <c r="L1" s="798"/>
      <c r="M1" s="798"/>
      <c r="N1" s="798"/>
      <c r="O1" s="798"/>
      <c r="P1" s="798"/>
      <c r="Q1" s="759"/>
      <c r="R1" s="759"/>
      <c r="S1" s="759"/>
      <c r="T1" s="759"/>
      <c r="U1" s="759"/>
      <c r="V1" s="759"/>
      <c r="W1" s="759"/>
      <c r="X1" s="759"/>
      <c r="Y1" s="759"/>
      <c r="Z1" s="759"/>
      <c r="AA1" s="759"/>
      <c r="AB1" s="759"/>
      <c r="AC1" s="759"/>
      <c r="AD1" s="759"/>
      <c r="AE1" s="759"/>
      <c r="AF1" s="759"/>
      <c r="AG1" s="759"/>
      <c r="AH1" s="759"/>
      <c r="AI1" s="759"/>
      <c r="AJ1" s="759"/>
      <c r="AK1" s="759"/>
      <c r="AL1" s="759"/>
      <c r="AM1" s="759"/>
      <c r="AN1" s="759"/>
      <c r="AO1" s="759"/>
      <c r="AP1" s="759"/>
      <c r="AQ1" s="759"/>
      <c r="AR1" s="759"/>
      <c r="AS1" s="759"/>
      <c r="AT1" s="759"/>
      <c r="AU1" s="759"/>
      <c r="AV1" s="759"/>
      <c r="AW1" s="759"/>
      <c r="AX1" s="759"/>
      <c r="AY1" s="759"/>
      <c r="AZ1" s="759"/>
      <c r="BA1" s="759"/>
      <c r="BB1" s="759"/>
      <c r="BC1" s="759"/>
      <c r="BD1" s="759"/>
      <c r="BE1" s="759"/>
      <c r="BF1" s="759"/>
      <c r="BG1" s="759"/>
      <c r="BH1" s="759"/>
      <c r="BI1" s="759"/>
      <c r="BJ1" s="759"/>
      <c r="BK1" s="759"/>
      <c r="BL1" s="759"/>
      <c r="BM1" s="759"/>
      <c r="BN1" s="759"/>
      <c r="BO1" s="759"/>
      <c r="BP1" s="759"/>
      <c r="BQ1" s="759"/>
      <c r="BR1" s="759"/>
      <c r="BS1" s="759"/>
      <c r="BT1" s="759"/>
      <c r="BU1" s="759"/>
      <c r="BV1" s="759"/>
      <c r="BW1" s="759"/>
      <c r="BX1" s="759"/>
      <c r="BY1" s="759"/>
      <c r="BZ1" s="759"/>
      <c r="CA1" s="759"/>
      <c r="CB1" s="759"/>
      <c r="CC1" s="759"/>
      <c r="CD1" s="759"/>
      <c r="CE1" s="759"/>
      <c r="CF1" s="759"/>
      <c r="CG1" s="759"/>
      <c r="CH1" s="759"/>
      <c r="CI1" s="759"/>
      <c r="CJ1" s="759"/>
      <c r="CK1" s="759"/>
      <c r="CL1" s="759"/>
      <c r="CM1" s="759"/>
      <c r="CN1" s="759"/>
      <c r="CO1" s="759"/>
      <c r="CP1" s="759"/>
      <c r="CQ1" s="759"/>
      <c r="CR1" s="759"/>
      <c r="CS1" s="759"/>
      <c r="CT1" s="759"/>
      <c r="CU1" s="759"/>
      <c r="CV1" s="759"/>
      <c r="CW1" s="759"/>
      <c r="CX1" s="759"/>
      <c r="CY1" s="759"/>
      <c r="CZ1" s="759"/>
      <c r="DA1" s="759"/>
      <c r="DB1" s="759"/>
      <c r="DC1" s="759"/>
      <c r="DD1" s="759"/>
      <c r="DE1" s="759"/>
      <c r="DF1" s="759"/>
      <c r="DG1" s="759"/>
      <c r="DH1" s="759"/>
      <c r="DI1" s="759"/>
      <c r="DJ1" s="759"/>
      <c r="DK1" s="759"/>
      <c r="DL1" s="759"/>
      <c r="DM1" s="759"/>
      <c r="DN1" s="759"/>
      <c r="DO1" s="759"/>
      <c r="DP1" s="759"/>
      <c r="DQ1" s="759"/>
      <c r="DR1" s="759"/>
      <c r="DS1" s="759"/>
      <c r="DT1" s="759"/>
      <c r="DU1" s="759"/>
      <c r="DV1" s="759"/>
      <c r="DW1" s="759"/>
      <c r="DX1" s="759"/>
      <c r="DY1" s="759"/>
      <c r="DZ1" s="759"/>
      <c r="EA1" s="759"/>
      <c r="EB1" s="759"/>
      <c r="EC1" s="759"/>
      <c r="ED1" s="759"/>
      <c r="EE1" s="759"/>
      <c r="EF1" s="759"/>
      <c r="EG1" s="759"/>
      <c r="EH1" s="759"/>
      <c r="EI1" s="759"/>
      <c r="EJ1" s="759"/>
      <c r="EK1" s="759"/>
      <c r="EL1" s="759"/>
      <c r="EM1" s="759"/>
      <c r="EN1" s="759"/>
      <c r="EO1" s="759"/>
      <c r="EP1" s="759"/>
      <c r="EQ1" s="759"/>
      <c r="ER1" s="759"/>
      <c r="ES1" s="759"/>
      <c r="ET1" s="759"/>
      <c r="EU1" s="759"/>
      <c r="EV1" s="759"/>
      <c r="EW1" s="759"/>
      <c r="EX1" s="759"/>
      <c r="EY1" s="759"/>
      <c r="EZ1" s="759"/>
      <c r="FA1" s="759"/>
      <c r="FB1" s="759"/>
      <c r="FC1" s="759"/>
      <c r="FD1" s="759"/>
      <c r="FE1" s="759"/>
      <c r="FF1" s="759"/>
      <c r="FG1" s="759"/>
      <c r="FH1" s="759"/>
      <c r="FI1" s="759"/>
      <c r="FJ1" s="759"/>
      <c r="FK1" s="759"/>
      <c r="FL1" s="759"/>
      <c r="FM1" s="759"/>
      <c r="FN1" s="759"/>
      <c r="FO1" s="759"/>
      <c r="FP1" s="759"/>
      <c r="FQ1" s="759"/>
      <c r="FR1" s="759"/>
      <c r="FS1" s="759"/>
      <c r="FT1" s="759"/>
      <c r="FU1" s="759"/>
      <c r="FV1" s="759"/>
      <c r="FW1" s="759"/>
      <c r="FX1" s="759"/>
      <c r="FY1" s="759"/>
      <c r="FZ1" s="759"/>
      <c r="GA1" s="759"/>
      <c r="GB1" s="759"/>
      <c r="GC1" s="759"/>
      <c r="GD1" s="759"/>
      <c r="GE1" s="759"/>
      <c r="GF1" s="759"/>
      <c r="GG1" s="759"/>
      <c r="GH1" s="759"/>
      <c r="GI1" s="759"/>
      <c r="GJ1" s="759"/>
      <c r="GK1" s="759"/>
      <c r="GL1" s="759"/>
      <c r="GM1" s="759"/>
      <c r="GN1" s="759"/>
      <c r="GO1" s="759"/>
      <c r="GP1" s="759"/>
      <c r="GQ1" s="759"/>
      <c r="GR1" s="759"/>
      <c r="GS1" s="759"/>
      <c r="GT1" s="759"/>
      <c r="GU1" s="759"/>
      <c r="GV1" s="759"/>
      <c r="GW1" s="759"/>
      <c r="GX1" s="759"/>
      <c r="GY1" s="759"/>
      <c r="GZ1" s="759"/>
      <c r="HA1" s="759"/>
      <c r="HB1" s="759"/>
      <c r="HC1" s="759"/>
      <c r="HD1" s="759"/>
      <c r="HE1" s="759"/>
      <c r="HF1" s="759"/>
    </row>
    <row r="2" spans="1:214" ht="71.25" customHeight="1" thickTop="1" thickBot="1">
      <c r="A2" s="721" t="s">
        <v>915</v>
      </c>
      <c r="B2" s="759"/>
      <c r="C2" s="1023" t="s">
        <v>916</v>
      </c>
      <c r="D2" s="1024"/>
      <c r="E2" s="1024"/>
      <c r="F2" s="722">
        <f ca="1">MAX(OFFSET(A3,3,0):OFFSET(A3,COUNTA(A:A)-COUNTA($A$2:$A$5),0))</f>
        <v>2026</v>
      </c>
      <c r="G2" s="759"/>
      <c r="H2" s="1230" t="s">
        <v>917</v>
      </c>
      <c r="I2" s="1231"/>
      <c r="J2" s="1231"/>
      <c r="K2" s="1232"/>
      <c r="L2" s="759"/>
      <c r="M2" s="759"/>
      <c r="N2" s="759"/>
      <c r="O2" s="723"/>
      <c r="P2" s="759"/>
      <c r="Q2" s="759"/>
      <c r="R2" s="759"/>
      <c r="S2" s="759"/>
      <c r="T2" s="759"/>
      <c r="U2" s="759"/>
      <c r="V2" s="759"/>
      <c r="W2" s="759"/>
      <c r="X2" s="759"/>
      <c r="Y2" s="759"/>
      <c r="Z2" s="759"/>
      <c r="AA2" s="759"/>
      <c r="AB2" s="759"/>
      <c r="AC2" s="759"/>
      <c r="AD2" s="759"/>
      <c r="AE2" s="759"/>
      <c r="AF2" s="759"/>
      <c r="AG2" s="759"/>
      <c r="AH2" s="759"/>
      <c r="AI2" s="759"/>
      <c r="AJ2" s="759"/>
      <c r="AK2" s="759"/>
      <c r="AL2" s="759"/>
      <c r="AM2" s="759"/>
      <c r="AN2" s="759"/>
      <c r="AO2" s="759"/>
      <c r="AP2" s="759"/>
      <c r="AQ2" s="759"/>
      <c r="AR2" s="759"/>
      <c r="AS2" s="759"/>
      <c r="AT2" s="759"/>
      <c r="AU2" s="759"/>
      <c r="AV2" s="759"/>
      <c r="AW2" s="759"/>
      <c r="AX2" s="759"/>
      <c r="AY2" s="759"/>
      <c r="AZ2" s="759"/>
      <c r="BA2" s="759"/>
      <c r="BB2" s="759"/>
      <c r="BC2" s="759"/>
      <c r="BD2" s="759"/>
      <c r="BE2" s="759"/>
      <c r="BF2" s="759"/>
      <c r="BG2" s="759"/>
      <c r="BH2" s="759"/>
      <c r="BI2" s="759"/>
      <c r="BJ2" s="759"/>
      <c r="BK2" s="759"/>
      <c r="BL2" s="759"/>
      <c r="BM2" s="759"/>
      <c r="BN2" s="759"/>
      <c r="BO2" s="759"/>
      <c r="BP2" s="759"/>
      <c r="BQ2" s="759"/>
      <c r="BR2" s="759"/>
      <c r="BS2" s="759"/>
      <c r="BT2" s="759"/>
      <c r="BU2" s="759"/>
      <c r="BV2" s="759"/>
      <c r="BW2" s="759"/>
      <c r="BX2" s="759"/>
      <c r="BY2" s="759"/>
      <c r="BZ2" s="759"/>
      <c r="CA2" s="759"/>
      <c r="CB2" s="759"/>
      <c r="CC2" s="759"/>
      <c r="CD2" s="759"/>
      <c r="CE2" s="759"/>
      <c r="CF2" s="759"/>
      <c r="CG2" s="759"/>
      <c r="CH2" s="759"/>
      <c r="CI2" s="759"/>
      <c r="CJ2" s="759"/>
      <c r="CK2" s="759"/>
      <c r="CL2" s="759"/>
      <c r="CM2" s="759"/>
      <c r="CN2" s="759"/>
      <c r="CO2" s="759"/>
      <c r="CP2" s="759"/>
      <c r="CQ2" s="759"/>
      <c r="CR2" s="759"/>
      <c r="CS2" s="759"/>
      <c r="CT2" s="759"/>
      <c r="CU2" s="759"/>
      <c r="CV2" s="759"/>
      <c r="CW2" s="759"/>
      <c r="CX2" s="759"/>
      <c r="CY2" s="759"/>
      <c r="CZ2" s="759"/>
      <c r="DA2" s="759"/>
      <c r="DB2" s="759"/>
      <c r="DC2" s="759"/>
      <c r="DD2" s="759"/>
      <c r="DE2" s="759"/>
      <c r="DF2" s="759"/>
      <c r="DG2" s="759"/>
      <c r="DH2" s="759"/>
      <c r="DI2" s="759"/>
      <c r="DJ2" s="759"/>
      <c r="DK2" s="759"/>
      <c r="DL2" s="759"/>
      <c r="DM2" s="759"/>
      <c r="DN2" s="759"/>
      <c r="DO2" s="759"/>
      <c r="DP2" s="759"/>
      <c r="DQ2" s="759"/>
      <c r="DR2" s="759"/>
      <c r="DS2" s="759"/>
      <c r="DT2" s="759"/>
      <c r="DU2" s="759"/>
      <c r="DV2" s="759"/>
      <c r="DW2" s="759"/>
      <c r="DX2" s="759"/>
      <c r="DY2" s="759"/>
      <c r="DZ2" s="759"/>
      <c r="EA2" s="759"/>
      <c r="EB2" s="759"/>
      <c r="EC2" s="759"/>
      <c r="ED2" s="759"/>
      <c r="EE2" s="759"/>
      <c r="EF2" s="759"/>
      <c r="EG2" s="759"/>
      <c r="EH2" s="759"/>
      <c r="EI2" s="759"/>
      <c r="EJ2" s="759"/>
      <c r="EK2" s="759"/>
      <c r="EL2" s="759"/>
      <c r="EM2" s="759"/>
      <c r="EN2" s="759"/>
      <c r="EO2" s="759"/>
      <c r="EP2" s="759"/>
      <c r="EQ2" s="759"/>
      <c r="ER2" s="759"/>
      <c r="ES2" s="759"/>
      <c r="ET2" s="759"/>
      <c r="EU2" s="759"/>
      <c r="EV2" s="759"/>
      <c r="EW2" s="759"/>
      <c r="EX2" s="759"/>
      <c r="EY2" s="759"/>
      <c r="EZ2" s="759"/>
      <c r="FA2" s="759"/>
      <c r="FB2" s="759"/>
      <c r="FC2" s="759"/>
      <c r="FD2" s="759"/>
      <c r="FE2" s="759"/>
      <c r="FF2" s="759"/>
      <c r="FG2" s="759"/>
      <c r="FH2" s="759"/>
      <c r="FI2" s="759"/>
      <c r="FJ2" s="759"/>
      <c r="FK2" s="759"/>
      <c r="FL2" s="759"/>
      <c r="FM2" s="759"/>
      <c r="FN2" s="759"/>
      <c r="FO2" s="759"/>
      <c r="FP2" s="759"/>
      <c r="FQ2" s="759"/>
      <c r="FR2" s="759"/>
      <c r="FS2" s="759"/>
      <c r="FT2" s="759"/>
      <c r="FU2" s="759"/>
      <c r="FV2" s="759"/>
      <c r="FW2" s="759"/>
      <c r="FX2" s="759"/>
      <c r="FY2" s="759"/>
      <c r="FZ2" s="759"/>
      <c r="GA2" s="759"/>
      <c r="GB2" s="759"/>
      <c r="GC2" s="1025" t="str">
        <f>A3</f>
        <v>From RSMeans, Historical Cost Index Data 2026
Copyright Gordian.
30 Patewood Dr. Suite 350, Greenville, SC, 29615; All rights reserved</v>
      </c>
      <c r="GD2" s="868"/>
      <c r="GE2" s="868"/>
      <c r="GF2" s="868"/>
      <c r="GG2" s="868"/>
      <c r="GH2" s="868"/>
      <c r="GI2" s="868"/>
      <c r="GJ2" s="759"/>
      <c r="GK2" s="759"/>
      <c r="GL2" s="759"/>
      <c r="GM2" s="759"/>
      <c r="GN2" s="759"/>
      <c r="GO2" s="724"/>
      <c r="GP2" s="725"/>
      <c r="GQ2" s="723"/>
      <c r="GR2" s="759"/>
      <c r="GS2" s="724"/>
      <c r="GT2" s="759"/>
      <c r="GU2" s="759"/>
      <c r="GV2" s="759"/>
      <c r="GW2" s="759"/>
      <c r="GX2" s="759"/>
      <c r="GY2" s="759"/>
      <c r="GZ2" s="759"/>
      <c r="HA2" s="759"/>
      <c r="HB2" s="759"/>
      <c r="HC2" s="759"/>
      <c r="HD2" s="759"/>
      <c r="HE2" s="759"/>
      <c r="HF2" s="759"/>
    </row>
    <row r="3" spans="1:214" ht="149.25" customHeight="1" thickTop="1">
      <c r="A3" s="792" t="s">
        <v>918</v>
      </c>
      <c r="B3" s="759" t="s">
        <v>919</v>
      </c>
      <c r="C3" s="759" t="s">
        <v>920</v>
      </c>
      <c r="D3" s="759" t="s">
        <v>920</v>
      </c>
      <c r="E3" s="759" t="s">
        <v>920</v>
      </c>
      <c r="F3" s="759" t="s">
        <v>920</v>
      </c>
      <c r="G3" s="759" t="s">
        <v>920</v>
      </c>
      <c r="H3" s="759" t="s">
        <v>920</v>
      </c>
      <c r="I3" s="759" t="s">
        <v>920</v>
      </c>
      <c r="J3" s="759" t="s">
        <v>920</v>
      </c>
      <c r="K3" s="759" t="s">
        <v>920</v>
      </c>
      <c r="L3" s="759" t="s">
        <v>920</v>
      </c>
      <c r="M3" s="759" t="s">
        <v>920</v>
      </c>
      <c r="N3" s="759" t="s">
        <v>920</v>
      </c>
      <c r="O3" s="759" t="s">
        <v>920</v>
      </c>
      <c r="P3" s="759" t="s">
        <v>920</v>
      </c>
      <c r="Q3" s="759" t="s">
        <v>920</v>
      </c>
      <c r="R3" s="759" t="s">
        <v>920</v>
      </c>
      <c r="S3" s="759" t="s">
        <v>920</v>
      </c>
      <c r="T3" s="759" t="s">
        <v>920</v>
      </c>
      <c r="U3" s="759" t="s">
        <v>920</v>
      </c>
      <c r="V3" s="759" t="s">
        <v>920</v>
      </c>
      <c r="W3" s="759" t="s">
        <v>920</v>
      </c>
      <c r="X3" s="759" t="s">
        <v>920</v>
      </c>
      <c r="Y3" s="759" t="s">
        <v>920</v>
      </c>
      <c r="Z3" s="759" t="s">
        <v>920</v>
      </c>
      <c r="AA3" s="759" t="s">
        <v>920</v>
      </c>
      <c r="AB3" s="759" t="s">
        <v>920</v>
      </c>
      <c r="AC3" s="759" t="s">
        <v>920</v>
      </c>
      <c r="AD3" s="759" t="s">
        <v>920</v>
      </c>
      <c r="AE3" s="759" t="s">
        <v>920</v>
      </c>
      <c r="AF3" s="759" t="s">
        <v>920</v>
      </c>
      <c r="AG3" s="759" t="s">
        <v>920</v>
      </c>
      <c r="AH3" s="759" t="s">
        <v>920</v>
      </c>
      <c r="AI3" s="759" t="s">
        <v>920</v>
      </c>
      <c r="AJ3" s="759" t="s">
        <v>920</v>
      </c>
      <c r="AK3" s="759" t="s">
        <v>920</v>
      </c>
      <c r="AL3" s="759" t="s">
        <v>920</v>
      </c>
      <c r="AM3" s="759" t="s">
        <v>920</v>
      </c>
      <c r="AN3" s="759" t="s">
        <v>920</v>
      </c>
      <c r="AO3" s="759" t="s">
        <v>920</v>
      </c>
      <c r="AP3" s="759" t="s">
        <v>920</v>
      </c>
      <c r="AQ3" s="759" t="s">
        <v>920</v>
      </c>
      <c r="AR3" s="759" t="s">
        <v>920</v>
      </c>
      <c r="AS3" s="759" t="s">
        <v>920</v>
      </c>
      <c r="AT3" s="759" t="s">
        <v>920</v>
      </c>
      <c r="AU3" s="759" t="s">
        <v>920</v>
      </c>
      <c r="AV3" s="759" t="s">
        <v>920</v>
      </c>
      <c r="AW3" s="759" t="s">
        <v>920</v>
      </c>
      <c r="AX3" s="759" t="s">
        <v>920</v>
      </c>
      <c r="AY3" s="759" t="s">
        <v>920</v>
      </c>
      <c r="AZ3" s="759" t="s">
        <v>920</v>
      </c>
      <c r="BA3" s="759" t="s">
        <v>920</v>
      </c>
      <c r="BB3" s="759" t="s">
        <v>920</v>
      </c>
      <c r="BC3" s="759" t="s">
        <v>920</v>
      </c>
      <c r="BD3" s="759" t="s">
        <v>920</v>
      </c>
      <c r="BE3" s="759" t="s">
        <v>920</v>
      </c>
      <c r="BF3" s="759" t="s">
        <v>920</v>
      </c>
      <c r="BG3" s="759" t="s">
        <v>920</v>
      </c>
      <c r="BH3" s="759" t="s">
        <v>920</v>
      </c>
      <c r="BI3" s="759" t="s">
        <v>920</v>
      </c>
      <c r="BJ3" s="759" t="s">
        <v>920</v>
      </c>
      <c r="BK3" s="759" t="s">
        <v>920</v>
      </c>
      <c r="BL3" s="759" t="s">
        <v>920</v>
      </c>
      <c r="BM3" s="759" t="s">
        <v>920</v>
      </c>
      <c r="BN3" s="759" t="s">
        <v>920</v>
      </c>
      <c r="BO3" s="759" t="s">
        <v>920</v>
      </c>
      <c r="BP3" s="759" t="s">
        <v>920</v>
      </c>
      <c r="BQ3" s="759" t="s">
        <v>920</v>
      </c>
      <c r="BR3" s="759" t="s">
        <v>920</v>
      </c>
      <c r="BS3" s="759" t="s">
        <v>920</v>
      </c>
      <c r="BT3" s="759" t="s">
        <v>920</v>
      </c>
      <c r="BU3" s="759" t="s">
        <v>920</v>
      </c>
      <c r="BV3" s="759" t="s">
        <v>920</v>
      </c>
      <c r="BW3" s="759" t="s">
        <v>920</v>
      </c>
      <c r="BX3" s="759" t="s">
        <v>920</v>
      </c>
      <c r="BY3" s="759" t="s">
        <v>920</v>
      </c>
      <c r="BZ3" s="759" t="s">
        <v>920</v>
      </c>
      <c r="CA3" s="759" t="s">
        <v>920</v>
      </c>
      <c r="CB3" s="759" t="s">
        <v>920</v>
      </c>
      <c r="CC3" s="759" t="s">
        <v>920</v>
      </c>
      <c r="CD3" s="759" t="s">
        <v>920</v>
      </c>
      <c r="CE3" s="759" t="s">
        <v>920</v>
      </c>
      <c r="CF3" s="759" t="s">
        <v>920</v>
      </c>
      <c r="CG3" s="759" t="s">
        <v>920</v>
      </c>
      <c r="CH3" s="759" t="s">
        <v>920</v>
      </c>
      <c r="CI3" s="759" t="s">
        <v>920</v>
      </c>
      <c r="CJ3" s="759" t="s">
        <v>920</v>
      </c>
      <c r="CK3" s="759" t="s">
        <v>920</v>
      </c>
      <c r="CL3" s="759" t="s">
        <v>920</v>
      </c>
      <c r="CM3" s="759" t="s">
        <v>920</v>
      </c>
      <c r="CN3" s="759" t="s">
        <v>920</v>
      </c>
      <c r="CO3" s="759" t="s">
        <v>920</v>
      </c>
      <c r="CP3" s="759" t="s">
        <v>920</v>
      </c>
      <c r="CQ3" s="759" t="s">
        <v>920</v>
      </c>
      <c r="CR3" s="759" t="s">
        <v>920</v>
      </c>
      <c r="CS3" s="759" t="s">
        <v>920</v>
      </c>
      <c r="CT3" s="759" t="s">
        <v>920</v>
      </c>
      <c r="CU3" s="759" t="s">
        <v>920</v>
      </c>
      <c r="CV3" s="759" t="s">
        <v>920</v>
      </c>
      <c r="CW3" s="759" t="s">
        <v>920</v>
      </c>
      <c r="CX3" s="759" t="s">
        <v>920</v>
      </c>
      <c r="CY3" s="759" t="s">
        <v>920</v>
      </c>
      <c r="CZ3" s="759" t="s">
        <v>920</v>
      </c>
      <c r="DA3" s="759" t="s">
        <v>920</v>
      </c>
      <c r="DB3" s="759" t="s">
        <v>920</v>
      </c>
      <c r="DC3" s="759" t="s">
        <v>920</v>
      </c>
      <c r="DD3" s="759" t="s">
        <v>920</v>
      </c>
      <c r="DE3" s="759" t="s">
        <v>920</v>
      </c>
      <c r="DF3" s="759" t="s">
        <v>920</v>
      </c>
      <c r="DG3" s="759" t="s">
        <v>920</v>
      </c>
      <c r="DH3" s="759" t="s">
        <v>920</v>
      </c>
      <c r="DI3" s="759" t="s">
        <v>920</v>
      </c>
      <c r="DJ3" s="759" t="s">
        <v>920</v>
      </c>
      <c r="DK3" s="759" t="s">
        <v>920</v>
      </c>
      <c r="DL3" s="759" t="s">
        <v>920</v>
      </c>
      <c r="DM3" s="759" t="s">
        <v>920</v>
      </c>
      <c r="DN3" s="759" t="s">
        <v>920</v>
      </c>
      <c r="DO3" s="759" t="s">
        <v>920</v>
      </c>
      <c r="DP3" s="759" t="s">
        <v>920</v>
      </c>
      <c r="DQ3" s="759" t="s">
        <v>920</v>
      </c>
      <c r="DR3" s="759" t="s">
        <v>920</v>
      </c>
      <c r="DS3" s="759" t="s">
        <v>920</v>
      </c>
      <c r="DT3" s="759" t="s">
        <v>920</v>
      </c>
      <c r="DU3" s="759" t="s">
        <v>920</v>
      </c>
      <c r="DV3" s="759" t="s">
        <v>920</v>
      </c>
      <c r="DW3" s="759" t="s">
        <v>920</v>
      </c>
      <c r="DX3" s="759" t="s">
        <v>920</v>
      </c>
      <c r="DY3" s="759" t="s">
        <v>920</v>
      </c>
      <c r="DZ3" s="759" t="s">
        <v>920</v>
      </c>
      <c r="EA3" s="759" t="s">
        <v>920</v>
      </c>
      <c r="EB3" s="759" t="s">
        <v>920</v>
      </c>
      <c r="EC3" s="759" t="s">
        <v>920</v>
      </c>
      <c r="ED3" s="759" t="s">
        <v>920</v>
      </c>
      <c r="EE3" s="759" t="s">
        <v>920</v>
      </c>
      <c r="EF3" s="759" t="s">
        <v>920</v>
      </c>
      <c r="EG3" s="759" t="s">
        <v>920</v>
      </c>
      <c r="EH3" s="759" t="s">
        <v>920</v>
      </c>
      <c r="EI3" s="759" t="s">
        <v>920</v>
      </c>
      <c r="EJ3" s="759" t="s">
        <v>920</v>
      </c>
      <c r="EK3" s="759" t="s">
        <v>920</v>
      </c>
      <c r="EL3" s="759" t="s">
        <v>920</v>
      </c>
      <c r="EM3" s="759" t="s">
        <v>920</v>
      </c>
      <c r="EN3" s="759" t="s">
        <v>920</v>
      </c>
      <c r="EO3" s="759" t="s">
        <v>920</v>
      </c>
      <c r="EP3" s="759" t="s">
        <v>920</v>
      </c>
      <c r="EQ3" s="759" t="s">
        <v>920</v>
      </c>
      <c r="ER3" s="759" t="s">
        <v>920</v>
      </c>
      <c r="ES3" s="759" t="s">
        <v>920</v>
      </c>
      <c r="ET3" s="759" t="s">
        <v>920</v>
      </c>
      <c r="EU3" s="759" t="s">
        <v>920</v>
      </c>
      <c r="EV3" s="759" t="s">
        <v>920</v>
      </c>
      <c r="EW3" s="759" t="s">
        <v>920</v>
      </c>
      <c r="EX3" s="759" t="s">
        <v>920</v>
      </c>
      <c r="EY3" s="759" t="s">
        <v>920</v>
      </c>
      <c r="EZ3" s="759" t="s">
        <v>920</v>
      </c>
      <c r="FA3" s="759" t="s">
        <v>920</v>
      </c>
      <c r="FB3" s="759" t="s">
        <v>920</v>
      </c>
      <c r="FC3" s="759" t="s">
        <v>920</v>
      </c>
      <c r="FD3" s="759" t="s">
        <v>920</v>
      </c>
      <c r="FE3" s="759" t="s">
        <v>920</v>
      </c>
      <c r="FF3" s="759" t="s">
        <v>920</v>
      </c>
      <c r="FG3" s="759" t="s">
        <v>920</v>
      </c>
      <c r="FH3" s="759" t="s">
        <v>920</v>
      </c>
      <c r="FI3" s="759" t="s">
        <v>920</v>
      </c>
      <c r="FJ3" s="759" t="s">
        <v>920</v>
      </c>
      <c r="FK3" s="759" t="s">
        <v>920</v>
      </c>
      <c r="FL3" s="759" t="s">
        <v>920</v>
      </c>
      <c r="FM3" s="759" t="s">
        <v>920</v>
      </c>
      <c r="FN3" s="759" t="s">
        <v>920</v>
      </c>
      <c r="FO3" s="759" t="s">
        <v>920</v>
      </c>
      <c r="FP3" s="759" t="s">
        <v>920</v>
      </c>
      <c r="FQ3" s="759" t="s">
        <v>920</v>
      </c>
      <c r="FR3" s="759" t="s">
        <v>920</v>
      </c>
      <c r="FS3" s="759" t="s">
        <v>920</v>
      </c>
      <c r="FT3" s="759" t="s">
        <v>920</v>
      </c>
      <c r="FU3" s="759" t="s">
        <v>920</v>
      </c>
      <c r="FV3" s="759" t="s">
        <v>920</v>
      </c>
      <c r="FW3" s="759" t="s">
        <v>920</v>
      </c>
      <c r="FX3" s="759" t="s">
        <v>920</v>
      </c>
      <c r="FY3" s="759" t="s">
        <v>920</v>
      </c>
      <c r="FZ3" s="759" t="s">
        <v>920</v>
      </c>
      <c r="GA3" s="759" t="s">
        <v>920</v>
      </c>
      <c r="GB3" s="759" t="s">
        <v>920</v>
      </c>
      <c r="GC3" s="759" t="s">
        <v>920</v>
      </c>
      <c r="GD3" s="759" t="s">
        <v>920</v>
      </c>
      <c r="GE3" s="759" t="s">
        <v>920</v>
      </c>
      <c r="GF3" s="1026" t="s">
        <v>921</v>
      </c>
      <c r="GG3" s="1027"/>
      <c r="GH3" s="759" t="s">
        <v>920</v>
      </c>
      <c r="GI3" s="759" t="s">
        <v>920</v>
      </c>
      <c r="GJ3" s="759" t="s">
        <v>920</v>
      </c>
      <c r="GK3" s="759" t="s">
        <v>920</v>
      </c>
      <c r="GL3" s="759" t="s">
        <v>920</v>
      </c>
      <c r="GM3" s="759" t="s">
        <v>920</v>
      </c>
      <c r="GN3" s="759" t="s">
        <v>920</v>
      </c>
      <c r="GO3" s="759" t="s">
        <v>920</v>
      </c>
      <c r="GP3" s="759" t="s">
        <v>920</v>
      </c>
      <c r="GQ3" s="759" t="s">
        <v>920</v>
      </c>
      <c r="GR3" s="759" t="s">
        <v>920</v>
      </c>
      <c r="GS3" s="759" t="s">
        <v>920</v>
      </c>
      <c r="GT3" s="759" t="s">
        <v>920</v>
      </c>
      <c r="GU3" s="759" t="s">
        <v>920</v>
      </c>
      <c r="GV3" s="759" t="s">
        <v>920</v>
      </c>
      <c r="GW3" s="759" t="s">
        <v>920</v>
      </c>
      <c r="GX3" s="759" t="s">
        <v>920</v>
      </c>
      <c r="GY3" s="759" t="s">
        <v>920</v>
      </c>
      <c r="GZ3" s="759" t="s">
        <v>920</v>
      </c>
      <c r="HA3" s="759" t="s">
        <v>920</v>
      </c>
      <c r="HB3" s="759" t="s">
        <v>920</v>
      </c>
      <c r="HC3" s="759" t="s">
        <v>920</v>
      </c>
      <c r="HD3" s="759" t="s">
        <v>922</v>
      </c>
      <c r="HE3" s="759"/>
      <c r="HF3" s="759"/>
    </row>
    <row r="4" spans="1:214" ht="25.5">
      <c r="A4" s="1233"/>
      <c r="B4" s="1234" t="s">
        <v>923</v>
      </c>
      <c r="C4" s="1234"/>
      <c r="D4" s="1234"/>
      <c r="E4" s="1234"/>
      <c r="F4" s="1234"/>
      <c r="G4" s="1233" t="s">
        <v>924</v>
      </c>
      <c r="H4" s="1234" t="s">
        <v>925</v>
      </c>
      <c r="I4" s="1234"/>
      <c r="J4" s="1234" t="s">
        <v>926</v>
      </c>
      <c r="K4" s="1234"/>
      <c r="L4" s="1234" t="s">
        <v>927</v>
      </c>
      <c r="M4" s="1234"/>
      <c r="N4" s="1234"/>
      <c r="O4" s="1234"/>
      <c r="P4" s="1234"/>
      <c r="Q4" s="1235"/>
      <c r="R4" s="1235"/>
      <c r="S4" s="1235"/>
      <c r="T4" s="1235"/>
      <c r="U4" s="1235"/>
      <c r="V4" s="1235"/>
      <c r="W4" s="1235"/>
      <c r="X4" s="1234" t="s">
        <v>928</v>
      </c>
      <c r="Y4" s="1234"/>
      <c r="Z4" s="1234"/>
      <c r="AA4" s="1234" t="s">
        <v>929</v>
      </c>
      <c r="AB4" s="1234"/>
      <c r="AC4" s="1234"/>
      <c r="AD4" s="1234"/>
      <c r="AE4" s="1234"/>
      <c r="AF4" s="1235"/>
      <c r="AG4" s="1235"/>
      <c r="AH4" s="1235"/>
      <c r="AI4" s="1233" t="s">
        <v>930</v>
      </c>
      <c r="AJ4" s="1233" t="s">
        <v>931</v>
      </c>
      <c r="AK4" s="1236" t="s">
        <v>932</v>
      </c>
      <c r="AL4" s="1236"/>
      <c r="AM4" s="1236"/>
      <c r="AN4" s="1236"/>
      <c r="AO4" s="1236"/>
      <c r="AP4" s="1236"/>
      <c r="AQ4" s="1234" t="s">
        <v>933</v>
      </c>
      <c r="AR4" s="1235"/>
      <c r="AS4" s="1235"/>
      <c r="AT4" s="1235"/>
      <c r="AU4" s="1235"/>
      <c r="AV4" s="1233" t="s">
        <v>934</v>
      </c>
      <c r="AW4" s="1234" t="s">
        <v>935</v>
      </c>
      <c r="AX4" s="1234"/>
      <c r="AY4" s="1234" t="s">
        <v>936</v>
      </c>
      <c r="AZ4" s="1234"/>
      <c r="BA4" s="1234"/>
      <c r="BB4" s="1234"/>
      <c r="BC4" s="1234"/>
      <c r="BD4" s="1234"/>
      <c r="BE4" s="1234" t="s">
        <v>937</v>
      </c>
      <c r="BF4" s="1234"/>
      <c r="BG4" s="1234"/>
      <c r="BH4" s="1234"/>
      <c r="BI4" s="1234"/>
      <c r="BJ4" s="1235"/>
      <c r="BK4" s="1235"/>
      <c r="BL4" s="1235"/>
      <c r="BM4" s="1236" t="s">
        <v>938</v>
      </c>
      <c r="BN4" s="1236"/>
      <c r="BO4" s="1236"/>
      <c r="BP4" s="1236"/>
      <c r="BQ4" s="1236"/>
      <c r="BR4" s="1234" t="s">
        <v>939</v>
      </c>
      <c r="BS4" s="1234"/>
      <c r="BT4" s="1234" t="s">
        <v>940</v>
      </c>
      <c r="BU4" s="1234"/>
      <c r="BV4" s="1234" t="s">
        <v>941</v>
      </c>
      <c r="BW4" s="1234"/>
      <c r="BX4" s="1234"/>
      <c r="BY4" s="1235"/>
      <c r="BZ4" s="1234" t="s">
        <v>942</v>
      </c>
      <c r="CA4" s="1234"/>
      <c r="CB4" s="1233" t="s">
        <v>943</v>
      </c>
      <c r="CC4" s="1234" t="s">
        <v>944</v>
      </c>
      <c r="CD4" s="1234"/>
      <c r="CE4" s="1234"/>
      <c r="CF4" s="1234"/>
      <c r="CG4" s="1234"/>
      <c r="CH4" s="1234"/>
      <c r="CI4" s="1234"/>
      <c r="CJ4" s="1234"/>
      <c r="CK4" s="1234"/>
      <c r="CL4" s="1234" t="s">
        <v>945</v>
      </c>
      <c r="CM4" s="1234"/>
      <c r="CN4" s="1235"/>
      <c r="CO4" s="1235"/>
      <c r="CP4" s="1235"/>
      <c r="CQ4" s="1235"/>
      <c r="CR4" s="1235"/>
      <c r="CS4" s="1235"/>
      <c r="CT4" s="1234" t="s">
        <v>946</v>
      </c>
      <c r="CU4" s="1234"/>
      <c r="CV4" s="1234"/>
      <c r="CW4" s="1236" t="s">
        <v>947</v>
      </c>
      <c r="CX4" s="1236"/>
      <c r="CY4" s="1234" t="s">
        <v>948</v>
      </c>
      <c r="CZ4" s="1234"/>
      <c r="DA4" s="1234"/>
      <c r="DB4" s="1234"/>
      <c r="DC4" s="1234" t="s">
        <v>949</v>
      </c>
      <c r="DD4" s="1234"/>
      <c r="DE4" s="1234" t="s">
        <v>950</v>
      </c>
      <c r="DF4" s="1234"/>
      <c r="DG4" s="1234" t="s">
        <v>951</v>
      </c>
      <c r="DH4" s="1234"/>
      <c r="DI4" s="1234" t="s">
        <v>952</v>
      </c>
      <c r="DJ4" s="1234"/>
      <c r="DK4" s="1234" t="s">
        <v>953</v>
      </c>
      <c r="DL4" s="1234"/>
      <c r="DM4" s="1234"/>
      <c r="DN4" s="1234"/>
      <c r="DO4" s="1234"/>
      <c r="DP4" s="1233" t="s">
        <v>954</v>
      </c>
      <c r="DQ4" s="1234" t="s">
        <v>955</v>
      </c>
      <c r="DR4" s="1235"/>
      <c r="DS4" s="1235"/>
      <c r="DT4" s="1235"/>
      <c r="DU4" s="1235"/>
      <c r="DV4" s="1235"/>
      <c r="DW4" s="1235"/>
      <c r="DX4" s="1235"/>
      <c r="DY4" s="1235"/>
      <c r="DZ4" s="1237" t="s">
        <v>956</v>
      </c>
      <c r="EA4" s="1237"/>
      <c r="EB4" s="1237"/>
      <c r="EC4" s="1237"/>
      <c r="ED4" s="1237"/>
      <c r="EE4" s="1238" t="s">
        <v>957</v>
      </c>
      <c r="EF4" s="1237" t="s">
        <v>958</v>
      </c>
      <c r="EG4" s="1237"/>
      <c r="EH4" s="1237"/>
      <c r="EI4" s="1237"/>
      <c r="EJ4" s="1237"/>
      <c r="EK4" s="1237"/>
      <c r="EL4" s="1237"/>
      <c r="EM4" s="1237"/>
      <c r="EN4" s="1237"/>
      <c r="EO4" s="1237"/>
      <c r="EP4" s="1237" t="s">
        <v>959</v>
      </c>
      <c r="EQ4" s="1237"/>
      <c r="ER4" s="1237"/>
      <c r="ES4" s="1237" t="s">
        <v>960</v>
      </c>
      <c r="ET4" s="1237"/>
      <c r="EU4" s="1237" t="s">
        <v>961</v>
      </c>
      <c r="EV4" s="1237"/>
      <c r="EW4" s="1237"/>
      <c r="EX4" s="1237"/>
      <c r="EY4" s="1237"/>
      <c r="EZ4" s="1237"/>
      <c r="FA4" s="1237"/>
      <c r="FB4" s="1239" t="s">
        <v>962</v>
      </c>
      <c r="FC4" s="1237" t="s">
        <v>963</v>
      </c>
      <c r="FD4" s="1237"/>
      <c r="FE4" s="1237" t="s">
        <v>964</v>
      </c>
      <c r="FF4" s="1237"/>
      <c r="FG4" s="1237" t="s">
        <v>965</v>
      </c>
      <c r="FH4" s="1237"/>
      <c r="FI4" s="1237"/>
      <c r="FJ4" s="1237"/>
      <c r="FK4" s="1237" t="s">
        <v>966</v>
      </c>
      <c r="FL4" s="1237"/>
      <c r="FM4" s="1237"/>
      <c r="FN4" s="1237"/>
      <c r="FO4" s="1237"/>
      <c r="FP4" s="1237"/>
      <c r="FQ4" s="1237"/>
      <c r="FR4" s="1237"/>
      <c r="FS4" s="1237"/>
      <c r="FT4" s="1237"/>
      <c r="FU4" s="1237"/>
      <c r="FV4" s="1237"/>
      <c r="FW4" s="1237"/>
      <c r="FX4" s="1237"/>
      <c r="FY4" s="1237" t="s">
        <v>967</v>
      </c>
      <c r="FZ4" s="1237"/>
      <c r="GA4" s="1237" t="s">
        <v>968</v>
      </c>
      <c r="GB4" s="1237"/>
      <c r="GC4" s="1240" t="s">
        <v>969</v>
      </c>
      <c r="GD4" s="1240"/>
      <c r="GE4" s="1240"/>
      <c r="GF4" s="1240"/>
      <c r="GG4" s="1240"/>
      <c r="GH4" s="1240"/>
      <c r="GI4" s="1240"/>
      <c r="GJ4" s="1237" t="s">
        <v>970</v>
      </c>
      <c r="GK4" s="1237"/>
      <c r="GL4" s="1237"/>
      <c r="GM4" s="1237" t="s">
        <v>971</v>
      </c>
      <c r="GN4" s="1237"/>
      <c r="GO4" s="1237" t="s">
        <v>972</v>
      </c>
      <c r="GP4" s="1237"/>
      <c r="GQ4" s="1237"/>
      <c r="GR4" s="1237"/>
      <c r="GS4" s="1237"/>
      <c r="GT4" s="1239" t="s">
        <v>973</v>
      </c>
      <c r="GU4" s="1237" t="s">
        <v>974</v>
      </c>
      <c r="GV4" s="1237"/>
      <c r="GW4" s="1237"/>
      <c r="GX4" s="1237"/>
      <c r="GY4" s="1237"/>
      <c r="GZ4" s="1237"/>
      <c r="HA4" s="1237"/>
      <c r="HB4" s="1237"/>
      <c r="HC4" s="1237"/>
      <c r="HD4" s="1237"/>
      <c r="HE4" s="759"/>
      <c r="HF4" s="759"/>
    </row>
    <row r="5" spans="1:214" ht="76.5">
      <c r="A5" s="1241"/>
      <c r="B5" s="1241" t="s">
        <v>975</v>
      </c>
      <c r="C5" s="1241" t="s">
        <v>976</v>
      </c>
      <c r="D5" s="1241" t="s">
        <v>977</v>
      </c>
      <c r="E5" s="1241" t="s">
        <v>978</v>
      </c>
      <c r="F5" s="1241" t="s">
        <v>979</v>
      </c>
      <c r="G5" s="1241" t="s">
        <v>980</v>
      </c>
      <c r="H5" s="1241" t="s">
        <v>981</v>
      </c>
      <c r="I5" s="1241" t="s">
        <v>982</v>
      </c>
      <c r="J5" s="1241" t="s">
        <v>983</v>
      </c>
      <c r="K5" s="1241" t="s">
        <v>984</v>
      </c>
      <c r="L5" s="1241" t="s">
        <v>985</v>
      </c>
      <c r="M5" s="1241" t="s">
        <v>986</v>
      </c>
      <c r="N5" s="1241" t="s">
        <v>987</v>
      </c>
      <c r="O5" s="1241" t="s">
        <v>988</v>
      </c>
      <c r="P5" s="1241" t="s">
        <v>989</v>
      </c>
      <c r="Q5" s="1241" t="s">
        <v>990</v>
      </c>
      <c r="R5" s="1241" t="s">
        <v>991</v>
      </c>
      <c r="S5" s="1241" t="s">
        <v>992</v>
      </c>
      <c r="T5" s="1241" t="s">
        <v>993</v>
      </c>
      <c r="U5" s="1241" t="s">
        <v>994</v>
      </c>
      <c r="V5" s="1241" t="s">
        <v>995</v>
      </c>
      <c r="W5" s="1241" t="s">
        <v>996</v>
      </c>
      <c r="X5" s="1241" t="s">
        <v>997</v>
      </c>
      <c r="Y5" s="1241" t="s">
        <v>998</v>
      </c>
      <c r="Z5" s="1241" t="s">
        <v>999</v>
      </c>
      <c r="AA5" s="1241" t="s">
        <v>1000</v>
      </c>
      <c r="AB5" s="1241" t="s">
        <v>1001</v>
      </c>
      <c r="AC5" s="1241" t="s">
        <v>1002</v>
      </c>
      <c r="AD5" s="1241" t="s">
        <v>1003</v>
      </c>
      <c r="AE5" s="1241" t="s">
        <v>1004</v>
      </c>
      <c r="AF5" s="1241" t="s">
        <v>1005</v>
      </c>
      <c r="AG5" s="1241" t="s">
        <v>1006</v>
      </c>
      <c r="AH5" s="1241" t="s">
        <v>1007</v>
      </c>
      <c r="AI5" s="1241" t="s">
        <v>1008</v>
      </c>
      <c r="AJ5" s="1241" t="s">
        <v>1009</v>
      </c>
      <c r="AK5" s="1241" t="s">
        <v>1010</v>
      </c>
      <c r="AL5" s="1241" t="s">
        <v>1011</v>
      </c>
      <c r="AM5" s="1241" t="s">
        <v>1012</v>
      </c>
      <c r="AN5" s="1241" t="s">
        <v>1013</v>
      </c>
      <c r="AO5" s="1241" t="s">
        <v>1014</v>
      </c>
      <c r="AP5" s="1241" t="s">
        <v>1015</v>
      </c>
      <c r="AQ5" s="1241" t="s">
        <v>1016</v>
      </c>
      <c r="AR5" s="1241" t="s">
        <v>1017</v>
      </c>
      <c r="AS5" s="1241" t="s">
        <v>1018</v>
      </c>
      <c r="AT5" s="1241" t="s">
        <v>1019</v>
      </c>
      <c r="AU5" s="1241" t="s">
        <v>1020</v>
      </c>
      <c r="AV5" s="1241" t="s">
        <v>1021</v>
      </c>
      <c r="AW5" s="1241" t="s">
        <v>1022</v>
      </c>
      <c r="AX5" s="1241" t="s">
        <v>1023</v>
      </c>
      <c r="AY5" s="1241" t="s">
        <v>1024</v>
      </c>
      <c r="AZ5" s="1241" t="s">
        <v>1025</v>
      </c>
      <c r="BA5" s="1241" t="s">
        <v>1026</v>
      </c>
      <c r="BB5" s="1241" t="s">
        <v>1027</v>
      </c>
      <c r="BC5" s="1241" t="s">
        <v>1028</v>
      </c>
      <c r="BD5" s="1241" t="s">
        <v>1029</v>
      </c>
      <c r="BE5" s="1241" t="s">
        <v>1030</v>
      </c>
      <c r="BF5" s="1241" t="s">
        <v>1031</v>
      </c>
      <c r="BG5" s="1241" t="s">
        <v>1032</v>
      </c>
      <c r="BH5" s="1241" t="s">
        <v>1033</v>
      </c>
      <c r="BI5" s="1241" t="s">
        <v>1034</v>
      </c>
      <c r="BJ5" s="1241" t="s">
        <v>1035</v>
      </c>
      <c r="BK5" s="1241" t="s">
        <v>1036</v>
      </c>
      <c r="BL5" s="1241" t="s">
        <v>1037</v>
      </c>
      <c r="BM5" s="1241" t="s">
        <v>1038</v>
      </c>
      <c r="BN5" s="1241" t="s">
        <v>1039</v>
      </c>
      <c r="BO5" s="1241" t="s">
        <v>1040</v>
      </c>
      <c r="BP5" s="1241" t="s">
        <v>1041</v>
      </c>
      <c r="BQ5" s="1241" t="s">
        <v>1042</v>
      </c>
      <c r="BR5" s="1241" t="s">
        <v>1043</v>
      </c>
      <c r="BS5" s="1241" t="s">
        <v>1044</v>
      </c>
      <c r="BT5" s="1241" t="s">
        <v>1045</v>
      </c>
      <c r="BU5" s="1241" t="s">
        <v>1046</v>
      </c>
      <c r="BV5" s="1241" t="s">
        <v>1047</v>
      </c>
      <c r="BW5" s="1241" t="s">
        <v>1048</v>
      </c>
      <c r="BX5" s="1241" t="s">
        <v>1049</v>
      </c>
      <c r="BY5" s="1241" t="s">
        <v>1050</v>
      </c>
      <c r="BZ5" s="1241" t="s">
        <v>1051</v>
      </c>
      <c r="CA5" s="1241" t="s">
        <v>1052</v>
      </c>
      <c r="CB5" s="1241" t="s">
        <v>1053</v>
      </c>
      <c r="CC5" s="1241" t="s">
        <v>1054</v>
      </c>
      <c r="CD5" s="1241" t="s">
        <v>1055</v>
      </c>
      <c r="CE5" s="1241" t="s">
        <v>1056</v>
      </c>
      <c r="CF5" s="1241" t="s">
        <v>1057</v>
      </c>
      <c r="CG5" s="1241" t="s">
        <v>1058</v>
      </c>
      <c r="CH5" s="1241" t="s">
        <v>1059</v>
      </c>
      <c r="CI5" s="1241" t="s">
        <v>1060</v>
      </c>
      <c r="CJ5" s="1241" t="s">
        <v>1029</v>
      </c>
      <c r="CK5" s="1241" t="s">
        <v>1061</v>
      </c>
      <c r="CL5" s="1241" t="s">
        <v>1062</v>
      </c>
      <c r="CM5" s="1241" t="s">
        <v>1063</v>
      </c>
      <c r="CN5" s="1241" t="s">
        <v>1064</v>
      </c>
      <c r="CO5" s="1241" t="s">
        <v>1065</v>
      </c>
      <c r="CP5" s="1241" t="s">
        <v>1066</v>
      </c>
      <c r="CQ5" s="1241" t="s">
        <v>1067</v>
      </c>
      <c r="CR5" s="1241" t="s">
        <v>1068</v>
      </c>
      <c r="CS5" s="1241" t="s">
        <v>1069</v>
      </c>
      <c r="CT5" s="1241" t="s">
        <v>1070</v>
      </c>
      <c r="CU5" s="1241" t="s">
        <v>1071</v>
      </c>
      <c r="CV5" s="1241" t="s">
        <v>1072</v>
      </c>
      <c r="CW5" s="1241" t="s">
        <v>1073</v>
      </c>
      <c r="CX5" s="1241" t="s">
        <v>1074</v>
      </c>
      <c r="CY5" s="1241" t="s">
        <v>1075</v>
      </c>
      <c r="CZ5" s="1241" t="s">
        <v>1076</v>
      </c>
      <c r="DA5" s="1241" t="s">
        <v>1077</v>
      </c>
      <c r="DB5" s="1241" t="s">
        <v>1029</v>
      </c>
      <c r="DC5" s="1241" t="s">
        <v>1078</v>
      </c>
      <c r="DD5" s="1241" t="s">
        <v>1079</v>
      </c>
      <c r="DE5" s="1241" t="s">
        <v>1080</v>
      </c>
      <c r="DF5" s="1241" t="s">
        <v>1081</v>
      </c>
      <c r="DG5" s="1241" t="s">
        <v>1082</v>
      </c>
      <c r="DH5" s="1241" t="s">
        <v>1083</v>
      </c>
      <c r="DI5" s="1241" t="s">
        <v>1084</v>
      </c>
      <c r="DJ5" s="1241" t="s">
        <v>1085</v>
      </c>
      <c r="DK5" s="1241" t="s">
        <v>1086</v>
      </c>
      <c r="DL5" s="1241" t="s">
        <v>1087</v>
      </c>
      <c r="DM5" s="1241" t="s">
        <v>1088</v>
      </c>
      <c r="DN5" s="1241" t="s">
        <v>1089</v>
      </c>
      <c r="DO5" s="1241" t="s">
        <v>1090</v>
      </c>
      <c r="DP5" s="1241" t="s">
        <v>1091</v>
      </c>
      <c r="DQ5" s="1241" t="s">
        <v>1016</v>
      </c>
      <c r="DR5" s="1241" t="s">
        <v>1092</v>
      </c>
      <c r="DS5" s="1241" t="s">
        <v>1093</v>
      </c>
      <c r="DT5" s="1241" t="s">
        <v>955</v>
      </c>
      <c r="DU5" s="1241" t="s">
        <v>1094</v>
      </c>
      <c r="DV5" s="1241" t="s">
        <v>1095</v>
      </c>
      <c r="DW5" s="1241" t="s">
        <v>1096</v>
      </c>
      <c r="DX5" s="1241" t="s">
        <v>1097</v>
      </c>
      <c r="DY5" s="1241" t="s">
        <v>1098</v>
      </c>
      <c r="DZ5" s="1241" t="s">
        <v>1099</v>
      </c>
      <c r="EA5" s="1241" t="s">
        <v>1100</v>
      </c>
      <c r="EB5" s="1241" t="s">
        <v>1101</v>
      </c>
      <c r="EC5" s="1241" t="s">
        <v>1102</v>
      </c>
      <c r="ED5" s="1241" t="s">
        <v>1103</v>
      </c>
      <c r="EE5" s="1241" t="s">
        <v>1104</v>
      </c>
      <c r="EF5" s="1241" t="s">
        <v>1105</v>
      </c>
      <c r="EG5" s="1241" t="s">
        <v>1106</v>
      </c>
      <c r="EH5" s="1241" t="s">
        <v>1107</v>
      </c>
      <c r="EI5" s="1241" t="s">
        <v>1108</v>
      </c>
      <c r="EJ5" s="1241" t="s">
        <v>1109</v>
      </c>
      <c r="EK5" s="1241" t="s">
        <v>1110</v>
      </c>
      <c r="EL5" s="1241" t="s">
        <v>1111</v>
      </c>
      <c r="EM5" s="1241" t="s">
        <v>1029</v>
      </c>
      <c r="EN5" s="1241" t="s">
        <v>1112</v>
      </c>
      <c r="EO5" s="1241" t="s">
        <v>1113</v>
      </c>
      <c r="EP5" s="1241" t="s">
        <v>1114</v>
      </c>
      <c r="EQ5" s="1241" t="s">
        <v>1115</v>
      </c>
      <c r="ER5" s="1241" t="s">
        <v>1116</v>
      </c>
      <c r="ES5" s="1241" t="s">
        <v>1117</v>
      </c>
      <c r="ET5" s="1241" t="s">
        <v>1118</v>
      </c>
      <c r="EU5" s="1241" t="s">
        <v>1119</v>
      </c>
      <c r="EV5" s="1241" t="s">
        <v>1120</v>
      </c>
      <c r="EW5" s="1241" t="s">
        <v>1121</v>
      </c>
      <c r="EX5" s="1241" t="s">
        <v>1122</v>
      </c>
      <c r="EY5" s="1241" t="s">
        <v>1123</v>
      </c>
      <c r="EZ5" s="1241" t="s">
        <v>1124</v>
      </c>
      <c r="FA5" s="1241" t="s">
        <v>1125</v>
      </c>
      <c r="FB5" s="1241" t="s">
        <v>1126</v>
      </c>
      <c r="FC5" s="1242" t="s">
        <v>1127</v>
      </c>
      <c r="FD5" s="1241" t="s">
        <v>1128</v>
      </c>
      <c r="FE5" s="1241" t="s">
        <v>1129</v>
      </c>
      <c r="FF5" s="1241" t="s">
        <v>1130</v>
      </c>
      <c r="FG5" s="1241" t="s">
        <v>1131</v>
      </c>
      <c r="FH5" s="1241" t="s">
        <v>1132</v>
      </c>
      <c r="FI5" s="1241" t="s">
        <v>1133</v>
      </c>
      <c r="FJ5" s="1241" t="s">
        <v>1134</v>
      </c>
      <c r="FK5" s="1241" t="s">
        <v>1135</v>
      </c>
      <c r="FL5" s="1241" t="s">
        <v>1136</v>
      </c>
      <c r="FM5" s="1241" t="s">
        <v>1137</v>
      </c>
      <c r="FN5" s="1241" t="s">
        <v>1138</v>
      </c>
      <c r="FO5" s="1241" t="s">
        <v>1139</v>
      </c>
      <c r="FP5" s="1241" t="s">
        <v>1140</v>
      </c>
      <c r="FQ5" s="1241" t="s">
        <v>1141</v>
      </c>
      <c r="FR5" s="1241" t="s">
        <v>1142</v>
      </c>
      <c r="FS5" s="1241" t="s">
        <v>1143</v>
      </c>
      <c r="FT5" s="1241" t="s">
        <v>1144</v>
      </c>
      <c r="FU5" s="1241" t="s">
        <v>1145</v>
      </c>
      <c r="FV5" s="1241" t="s">
        <v>1146</v>
      </c>
      <c r="FW5" s="1241" t="s">
        <v>1147</v>
      </c>
      <c r="FX5" s="1241" t="s">
        <v>1148</v>
      </c>
      <c r="FY5" s="1241" t="s">
        <v>1149</v>
      </c>
      <c r="FZ5" s="1241" t="s">
        <v>1150</v>
      </c>
      <c r="GA5" s="1241" t="s">
        <v>1151</v>
      </c>
      <c r="GB5" s="1241" t="s">
        <v>1152</v>
      </c>
      <c r="GC5" s="1243" t="s">
        <v>1153</v>
      </c>
      <c r="GD5" s="1243" t="s">
        <v>1154</v>
      </c>
      <c r="GE5" s="1243" t="s">
        <v>1155</v>
      </c>
      <c r="GF5" s="1244" t="s">
        <v>1156</v>
      </c>
      <c r="GG5" s="1244" t="s">
        <v>1157</v>
      </c>
      <c r="GH5" s="1243" t="s">
        <v>1158</v>
      </c>
      <c r="GI5" s="1243" t="s">
        <v>1159</v>
      </c>
      <c r="GJ5" s="1241" t="s">
        <v>1160</v>
      </c>
      <c r="GK5" s="1241" t="s">
        <v>1161</v>
      </c>
      <c r="GL5" s="1241" t="s">
        <v>1162</v>
      </c>
      <c r="GM5" s="1241" t="s">
        <v>1163</v>
      </c>
      <c r="GN5" s="1241" t="s">
        <v>1164</v>
      </c>
      <c r="GO5" s="1241" t="s">
        <v>1165</v>
      </c>
      <c r="GP5" s="1241" t="s">
        <v>1166</v>
      </c>
      <c r="GQ5" s="1241" t="s">
        <v>1167</v>
      </c>
      <c r="GR5" s="1241" t="s">
        <v>1168</v>
      </c>
      <c r="GS5" s="1241" t="s">
        <v>1169</v>
      </c>
      <c r="GT5" s="1241" t="s">
        <v>1170</v>
      </c>
      <c r="GU5" s="1241" t="s">
        <v>1171</v>
      </c>
      <c r="GV5" s="1241" t="s">
        <v>1172</v>
      </c>
      <c r="GW5" s="1241" t="s">
        <v>1173</v>
      </c>
      <c r="GX5" s="1241" t="s">
        <v>1174</v>
      </c>
      <c r="GY5" s="1241" t="s">
        <v>1175</v>
      </c>
      <c r="GZ5" s="1241" t="s">
        <v>1176</v>
      </c>
      <c r="HA5" s="1241" t="s">
        <v>1177</v>
      </c>
      <c r="HB5" s="1241" t="s">
        <v>1178</v>
      </c>
      <c r="HC5" s="1241" t="s">
        <v>1179</v>
      </c>
      <c r="HD5" s="1241" t="s">
        <v>1180</v>
      </c>
      <c r="HE5" s="759"/>
      <c r="HF5" s="759"/>
    </row>
    <row r="6" spans="1:214" ht="26.25" customHeight="1">
      <c r="A6" s="1245">
        <v>2026</v>
      </c>
      <c r="B6" s="1246">
        <v>267.7</v>
      </c>
      <c r="C6" s="1246">
        <v>261.60000000000002</v>
      </c>
      <c r="D6" s="1246">
        <v>261.3</v>
      </c>
      <c r="E6" s="1246">
        <v>265.2</v>
      </c>
      <c r="F6" s="1246">
        <v>262.2</v>
      </c>
      <c r="G6" s="1246">
        <v>346.5</v>
      </c>
      <c r="H6" s="1246">
        <v>278.89999999999998</v>
      </c>
      <c r="I6" s="1246">
        <v>278.2</v>
      </c>
      <c r="J6" s="1246">
        <v>246.6</v>
      </c>
      <c r="K6" s="1246">
        <v>252.2</v>
      </c>
      <c r="L6" s="1246">
        <v>343.5</v>
      </c>
      <c r="M6" s="1246">
        <v>343.2</v>
      </c>
      <c r="N6" s="1246">
        <v>353.6</v>
      </c>
      <c r="O6" s="1246">
        <v>344.6</v>
      </c>
      <c r="P6" s="1246">
        <v>337.3</v>
      </c>
      <c r="Q6" s="1246">
        <v>342.1</v>
      </c>
      <c r="R6" s="1246">
        <v>354.6</v>
      </c>
      <c r="S6" s="1246">
        <v>340</v>
      </c>
      <c r="T6" s="1246">
        <v>391.4</v>
      </c>
      <c r="U6" s="1246">
        <v>337</v>
      </c>
      <c r="V6" s="1246">
        <v>356</v>
      </c>
      <c r="W6" s="1246">
        <v>368.5</v>
      </c>
      <c r="X6" s="1246">
        <v>272.5</v>
      </c>
      <c r="Y6" s="1246">
        <v>281.89999999999998</v>
      </c>
      <c r="Z6" s="1246">
        <v>270.60000000000002</v>
      </c>
      <c r="AA6" s="1246">
        <v>323.39999999999998</v>
      </c>
      <c r="AB6" s="1246">
        <v>326.7</v>
      </c>
      <c r="AC6" s="1246">
        <v>328.5</v>
      </c>
      <c r="AD6" s="1246">
        <v>327.8</v>
      </c>
      <c r="AE6" s="1246">
        <v>321.7</v>
      </c>
      <c r="AF6" s="1246">
        <v>325.8</v>
      </c>
      <c r="AG6" s="1246">
        <v>326.7</v>
      </c>
      <c r="AH6" s="1246">
        <v>327.5</v>
      </c>
      <c r="AI6" s="1246">
        <v>318.8</v>
      </c>
      <c r="AJ6" s="1246">
        <v>294.39999999999998</v>
      </c>
      <c r="AK6" s="1246">
        <v>259</v>
      </c>
      <c r="AL6" s="1246">
        <v>261.7</v>
      </c>
      <c r="AM6" s="1246">
        <v>261.10000000000002</v>
      </c>
      <c r="AN6" s="1246">
        <v>259</v>
      </c>
      <c r="AO6" s="1246">
        <v>265.39999999999998</v>
      </c>
      <c r="AP6" s="1246">
        <v>262.60000000000002</v>
      </c>
      <c r="AQ6" s="1246">
        <v>265.3</v>
      </c>
      <c r="AR6" s="1246">
        <v>272.39999999999998</v>
      </c>
      <c r="AS6" s="1246">
        <v>268.2</v>
      </c>
      <c r="AT6" s="1246">
        <v>269.8</v>
      </c>
      <c r="AU6" s="1246">
        <v>268.60000000000002</v>
      </c>
      <c r="AV6" s="1246">
        <v>364</v>
      </c>
      <c r="AW6" s="1246">
        <v>286.8</v>
      </c>
      <c r="AX6" s="1246">
        <v>278.3</v>
      </c>
      <c r="AY6" s="1246">
        <v>354.3</v>
      </c>
      <c r="AZ6" s="1246">
        <v>300.8</v>
      </c>
      <c r="BA6" s="1246">
        <v>350.4</v>
      </c>
      <c r="BB6" s="1246">
        <v>306.5</v>
      </c>
      <c r="BC6" s="1246">
        <v>330.5</v>
      </c>
      <c r="BD6" s="1246">
        <v>298</v>
      </c>
      <c r="BE6" s="1246">
        <v>278.60000000000002</v>
      </c>
      <c r="BF6" s="1246">
        <v>277.89999999999998</v>
      </c>
      <c r="BG6" s="1246">
        <v>269.89999999999998</v>
      </c>
      <c r="BH6" s="1246">
        <v>301.7</v>
      </c>
      <c r="BI6" s="1246">
        <v>280.39999999999998</v>
      </c>
      <c r="BJ6" s="1246">
        <v>276.8</v>
      </c>
      <c r="BK6" s="1246">
        <v>279.2</v>
      </c>
      <c r="BL6" s="1246">
        <v>274.7</v>
      </c>
      <c r="BM6" s="1246">
        <v>280.2</v>
      </c>
      <c r="BN6" s="1246">
        <v>293</v>
      </c>
      <c r="BO6" s="1246">
        <v>286.8</v>
      </c>
      <c r="BP6" s="1246">
        <v>273.3</v>
      </c>
      <c r="BQ6" s="1246">
        <v>271.39999999999998</v>
      </c>
      <c r="BR6" s="1246">
        <v>271.5</v>
      </c>
      <c r="BS6" s="1246">
        <v>260.10000000000002</v>
      </c>
      <c r="BT6" s="1246">
        <v>270.5</v>
      </c>
      <c r="BU6" s="1246">
        <v>279.2</v>
      </c>
      <c r="BV6" s="1246">
        <v>261.8</v>
      </c>
      <c r="BW6" s="1246">
        <v>261.2</v>
      </c>
      <c r="BX6" s="1246">
        <v>264.2</v>
      </c>
      <c r="BY6" s="1246">
        <v>260.10000000000002</v>
      </c>
      <c r="BZ6" s="1246">
        <v>284.3</v>
      </c>
      <c r="CA6" s="1246">
        <v>293.2</v>
      </c>
      <c r="CB6" s="1246">
        <v>288.3</v>
      </c>
      <c r="CC6" s="1246">
        <v>346.9</v>
      </c>
      <c r="CD6" s="1246">
        <v>324</v>
      </c>
      <c r="CE6" s="1246">
        <v>325.60000000000002</v>
      </c>
      <c r="CF6" s="1246">
        <v>332.6</v>
      </c>
      <c r="CG6" s="1246">
        <v>327.60000000000002</v>
      </c>
      <c r="CH6" s="1246">
        <v>323.2</v>
      </c>
      <c r="CI6" s="1246">
        <v>304.39999999999998</v>
      </c>
      <c r="CJ6" s="1246">
        <v>314.3</v>
      </c>
      <c r="CK6" s="1246">
        <v>319.60000000000002</v>
      </c>
      <c r="CL6" s="1246">
        <v>290.8</v>
      </c>
      <c r="CM6" s="1246">
        <v>296.7</v>
      </c>
      <c r="CN6" s="1246">
        <v>297.60000000000002</v>
      </c>
      <c r="CO6" s="1246">
        <v>281.5</v>
      </c>
      <c r="CP6" s="1246">
        <v>277.10000000000002</v>
      </c>
      <c r="CQ6" s="1246">
        <v>273.8</v>
      </c>
      <c r="CR6" s="1246">
        <v>282.2</v>
      </c>
      <c r="CS6" s="1246">
        <v>274</v>
      </c>
      <c r="CT6" s="1246">
        <v>307.3</v>
      </c>
      <c r="CU6" s="1246">
        <v>324.7</v>
      </c>
      <c r="CV6" s="1246">
        <v>304.3</v>
      </c>
      <c r="CW6" s="1246">
        <v>256.2</v>
      </c>
      <c r="CX6" s="1246">
        <v>256.39999999999998</v>
      </c>
      <c r="CY6" s="1246">
        <v>298.8</v>
      </c>
      <c r="CZ6" s="1246">
        <v>290.10000000000002</v>
      </c>
      <c r="DA6" s="1246">
        <v>299.8</v>
      </c>
      <c r="DB6" s="1246">
        <v>276.3</v>
      </c>
      <c r="DC6" s="1246">
        <v>277.8</v>
      </c>
      <c r="DD6" s="1246">
        <v>273.3</v>
      </c>
      <c r="DE6" s="1246">
        <v>273.7</v>
      </c>
      <c r="DF6" s="1246">
        <v>275.2</v>
      </c>
      <c r="DG6" s="1246">
        <v>320.2</v>
      </c>
      <c r="DH6" s="1246">
        <v>304.89999999999998</v>
      </c>
      <c r="DI6" s="1246">
        <v>297.2</v>
      </c>
      <c r="DJ6" s="1246">
        <v>290</v>
      </c>
      <c r="DK6" s="1246">
        <v>340.2</v>
      </c>
      <c r="DL6" s="1246">
        <v>345.4</v>
      </c>
      <c r="DM6" s="1246">
        <v>348.6</v>
      </c>
      <c r="DN6" s="1246">
        <v>348.8</v>
      </c>
      <c r="DO6" s="1246">
        <v>342.5</v>
      </c>
      <c r="DP6" s="1246">
        <v>271.10000000000002</v>
      </c>
      <c r="DQ6" s="1246">
        <v>312.89999999999998</v>
      </c>
      <c r="DR6" s="1246">
        <v>301.2</v>
      </c>
      <c r="DS6" s="1246">
        <v>316.5</v>
      </c>
      <c r="DT6" s="1246">
        <v>383</v>
      </c>
      <c r="DU6" s="1246">
        <v>303.2</v>
      </c>
      <c r="DV6" s="1246">
        <v>313.60000000000002</v>
      </c>
      <c r="DW6" s="1246">
        <v>307.3</v>
      </c>
      <c r="DX6" s="1246">
        <v>307.3</v>
      </c>
      <c r="DY6" s="1246">
        <v>356.6</v>
      </c>
      <c r="DZ6" s="1246">
        <v>264.8</v>
      </c>
      <c r="EA6" s="1246">
        <v>261.39999999999998</v>
      </c>
      <c r="EB6" s="1246">
        <v>260.89999999999998</v>
      </c>
      <c r="EC6" s="1246">
        <v>261.2</v>
      </c>
      <c r="ED6" s="1246">
        <v>261.2</v>
      </c>
      <c r="EE6" s="1246">
        <v>274.8</v>
      </c>
      <c r="EF6" s="1246">
        <v>282.3</v>
      </c>
      <c r="EG6" s="1246">
        <v>276.2</v>
      </c>
      <c r="EH6" s="1246">
        <v>276.2</v>
      </c>
      <c r="EI6" s="1246">
        <v>286.10000000000002</v>
      </c>
      <c r="EJ6" s="1246">
        <v>284.2</v>
      </c>
      <c r="EK6" s="1246">
        <v>276.2</v>
      </c>
      <c r="EL6" s="1246">
        <v>278.39999999999998</v>
      </c>
      <c r="EM6" s="1246">
        <v>277.2</v>
      </c>
      <c r="EN6" s="1246">
        <v>287.5</v>
      </c>
      <c r="EO6" s="1246">
        <v>277.7</v>
      </c>
      <c r="EP6" s="1246">
        <v>256.3</v>
      </c>
      <c r="EQ6" s="1246">
        <v>265.8</v>
      </c>
      <c r="ER6" s="1246">
        <v>266.39999999999998</v>
      </c>
      <c r="ES6" s="1246">
        <v>308.7</v>
      </c>
      <c r="ET6" s="1246">
        <v>316.89999999999998</v>
      </c>
      <c r="EU6" s="1246">
        <v>308.39999999999998</v>
      </c>
      <c r="EV6" s="1246">
        <v>296.60000000000002</v>
      </c>
      <c r="EW6" s="1246">
        <v>298.3</v>
      </c>
      <c r="EX6" s="1246">
        <v>344.1</v>
      </c>
      <c r="EY6" s="1246">
        <v>313.60000000000002</v>
      </c>
      <c r="EZ6" s="1246">
        <v>304.3</v>
      </c>
      <c r="FA6" s="1246">
        <v>294.7</v>
      </c>
      <c r="FB6" s="1246">
        <v>316.2</v>
      </c>
      <c r="FC6" s="1246">
        <v>265.2</v>
      </c>
      <c r="FD6" s="1246">
        <v>265.3</v>
      </c>
      <c r="FE6" s="1246">
        <v>261.10000000000002</v>
      </c>
      <c r="FF6" s="1246">
        <v>277.2</v>
      </c>
      <c r="FG6" s="1246">
        <v>262.60000000000002</v>
      </c>
      <c r="FH6" s="1246">
        <v>260.60000000000002</v>
      </c>
      <c r="FI6" s="1246">
        <v>266.60000000000002</v>
      </c>
      <c r="FJ6" s="1246">
        <v>270.10000000000002</v>
      </c>
      <c r="FK6" s="1246">
        <v>246.7</v>
      </c>
      <c r="FL6" s="1246">
        <v>258.3</v>
      </c>
      <c r="FM6" s="1246">
        <v>250.6</v>
      </c>
      <c r="FN6" s="1246">
        <v>252.6</v>
      </c>
      <c r="FO6" s="1246">
        <v>249.8</v>
      </c>
      <c r="FP6" s="1246">
        <v>259</v>
      </c>
      <c r="FQ6" s="1246">
        <v>260</v>
      </c>
      <c r="FR6" s="1246">
        <v>253.4</v>
      </c>
      <c r="FS6" s="1246">
        <v>254.2</v>
      </c>
      <c r="FT6" s="1246">
        <v>258.89999999999998</v>
      </c>
      <c r="FU6" s="1246">
        <v>254.8</v>
      </c>
      <c r="FV6" s="1246">
        <v>250.8</v>
      </c>
      <c r="FW6" s="1246">
        <v>249</v>
      </c>
      <c r="FX6" s="1246">
        <v>245</v>
      </c>
      <c r="FY6" s="1246">
        <v>270.5</v>
      </c>
      <c r="FZ6" s="1246">
        <v>280.39999999999998</v>
      </c>
      <c r="GA6" s="1246">
        <v>280.7</v>
      </c>
      <c r="GB6" s="1246">
        <v>274.5</v>
      </c>
      <c r="GC6" s="1246">
        <v>288.89999999999998</v>
      </c>
      <c r="GD6" s="1246">
        <v>265.2</v>
      </c>
      <c r="GE6" s="1246">
        <v>265.2</v>
      </c>
      <c r="GF6" s="1247">
        <f>(GD6+GH6)/2</f>
        <v>264.89999999999998</v>
      </c>
      <c r="GG6" s="1247">
        <f>(GC6+GH6)/2</f>
        <v>276.75</v>
      </c>
      <c r="GH6" s="1248">
        <v>264.60000000000002</v>
      </c>
      <c r="GI6" s="1246">
        <v>265</v>
      </c>
      <c r="GJ6" s="1246">
        <v>330.7</v>
      </c>
      <c r="GK6" s="1246">
        <v>288.60000000000002</v>
      </c>
      <c r="GL6" s="1246">
        <v>318.2</v>
      </c>
      <c r="GM6" s="1246">
        <v>286</v>
      </c>
      <c r="GN6" s="1246">
        <v>286.39999999999998</v>
      </c>
      <c r="GO6" s="1246">
        <v>298.2</v>
      </c>
      <c r="GP6" s="1246">
        <v>304.89999999999998</v>
      </c>
      <c r="GQ6" s="1246">
        <v>304.10000000000002</v>
      </c>
      <c r="GR6" s="1246">
        <v>308.2</v>
      </c>
      <c r="GS6" s="1246">
        <v>306.2</v>
      </c>
      <c r="GT6" s="1246">
        <v>271.5</v>
      </c>
      <c r="GU6" s="1246">
        <v>362.3</v>
      </c>
      <c r="GV6" s="1246">
        <v>362</v>
      </c>
      <c r="GW6" s="1246">
        <v>345.8</v>
      </c>
      <c r="GX6" s="1246">
        <v>345.1</v>
      </c>
      <c r="GY6" s="1246">
        <v>332</v>
      </c>
      <c r="GZ6" s="1246">
        <v>342.1</v>
      </c>
      <c r="HA6" s="1246">
        <v>333</v>
      </c>
      <c r="HB6" s="1246">
        <v>351.6</v>
      </c>
      <c r="HC6" s="1246">
        <v>355.6</v>
      </c>
      <c r="HD6" s="1246">
        <v>323</v>
      </c>
      <c r="HE6" s="759"/>
      <c r="HF6" s="759">
        <f>MAX(B6:HD6)</f>
        <v>391.4</v>
      </c>
    </row>
    <row r="7" spans="1:214" ht="42" customHeight="1">
      <c r="A7" s="1249">
        <v>2025</v>
      </c>
      <c r="B7" s="1250">
        <v>257.3</v>
      </c>
      <c r="C7" s="1250">
        <v>257.39999999999998</v>
      </c>
      <c r="D7" s="1250">
        <v>251.3</v>
      </c>
      <c r="E7" s="1250">
        <v>258.2</v>
      </c>
      <c r="F7" s="1250">
        <v>254.3</v>
      </c>
      <c r="G7" s="1250">
        <v>334.5</v>
      </c>
      <c r="H7" s="1250">
        <v>263.60000000000002</v>
      </c>
      <c r="I7" s="1250">
        <v>259.2</v>
      </c>
      <c r="J7" s="1250">
        <v>240.3</v>
      </c>
      <c r="K7" s="1250">
        <v>247.2</v>
      </c>
      <c r="L7" s="1250">
        <v>331.5</v>
      </c>
      <c r="M7" s="1250">
        <v>331</v>
      </c>
      <c r="N7" s="1250">
        <v>339.6</v>
      </c>
      <c r="O7" s="1250">
        <v>337.9</v>
      </c>
      <c r="P7" s="1250">
        <v>327.7</v>
      </c>
      <c r="Q7" s="1250">
        <v>330.6</v>
      </c>
      <c r="R7" s="1250">
        <v>343.1</v>
      </c>
      <c r="S7" s="1250">
        <v>326.3</v>
      </c>
      <c r="T7" s="1250">
        <v>377.8</v>
      </c>
      <c r="U7" s="1250">
        <v>328.1</v>
      </c>
      <c r="V7" s="1250">
        <v>341.7</v>
      </c>
      <c r="W7" s="1250">
        <v>351.8</v>
      </c>
      <c r="X7" s="1250">
        <v>261.10000000000002</v>
      </c>
      <c r="Y7" s="1250">
        <v>268.39999999999998</v>
      </c>
      <c r="Z7" s="1250">
        <v>260.89999999999998</v>
      </c>
      <c r="AA7" s="1250">
        <v>317.2</v>
      </c>
      <c r="AB7" s="1250">
        <v>317.2</v>
      </c>
      <c r="AC7" s="1250">
        <v>317.7</v>
      </c>
      <c r="AD7" s="1250">
        <v>315.7</v>
      </c>
      <c r="AE7" s="1250">
        <v>313.8</v>
      </c>
      <c r="AF7" s="1250">
        <v>317.60000000000002</v>
      </c>
      <c r="AG7" s="1250">
        <v>317.8</v>
      </c>
      <c r="AH7" s="1250">
        <v>316.5</v>
      </c>
      <c r="AI7" s="1250">
        <v>309.10000000000002</v>
      </c>
      <c r="AJ7" s="1250">
        <v>283.10000000000002</v>
      </c>
      <c r="AK7" s="1250">
        <v>250.5</v>
      </c>
      <c r="AL7" s="1250">
        <v>256</v>
      </c>
      <c r="AM7" s="1250">
        <v>252.3</v>
      </c>
      <c r="AN7" s="1250">
        <v>260.60000000000002</v>
      </c>
      <c r="AO7" s="1250">
        <v>257.60000000000002</v>
      </c>
      <c r="AP7" s="1250">
        <v>254.1</v>
      </c>
      <c r="AQ7" s="1250">
        <v>256.2</v>
      </c>
      <c r="AR7" s="1250">
        <v>267.8</v>
      </c>
      <c r="AS7" s="1250">
        <v>258.7</v>
      </c>
      <c r="AT7" s="1250">
        <v>258.60000000000002</v>
      </c>
      <c r="AU7" s="1250">
        <v>262.2</v>
      </c>
      <c r="AV7" s="1250">
        <v>347.6</v>
      </c>
      <c r="AW7" s="1250">
        <v>275.10000000000002</v>
      </c>
      <c r="AX7" s="1250">
        <v>265.5</v>
      </c>
      <c r="AY7" s="1250">
        <v>345.5</v>
      </c>
      <c r="AZ7" s="1250">
        <v>289.10000000000002</v>
      </c>
      <c r="BA7" s="1250">
        <v>340</v>
      </c>
      <c r="BB7" s="1250">
        <v>293.39999999999998</v>
      </c>
      <c r="BC7" s="1250">
        <v>319</v>
      </c>
      <c r="BD7" s="1250">
        <v>290.8</v>
      </c>
      <c r="BE7" s="1250">
        <v>270.5</v>
      </c>
      <c r="BF7" s="1250">
        <v>267.3</v>
      </c>
      <c r="BG7" s="1250">
        <v>261</v>
      </c>
      <c r="BH7" s="1250">
        <v>290.89999999999998</v>
      </c>
      <c r="BI7" s="1250">
        <v>273.10000000000002</v>
      </c>
      <c r="BJ7" s="1250">
        <v>265.5</v>
      </c>
      <c r="BK7" s="1250">
        <v>269.7</v>
      </c>
      <c r="BL7" s="1250">
        <v>267</v>
      </c>
      <c r="BM7" s="1250">
        <v>268.10000000000002</v>
      </c>
      <c r="BN7" s="1250">
        <v>277.89999999999998</v>
      </c>
      <c r="BO7" s="1250">
        <v>278.8</v>
      </c>
      <c r="BP7" s="1250">
        <v>260.89999999999998</v>
      </c>
      <c r="BQ7" s="1250">
        <v>260.39999999999998</v>
      </c>
      <c r="BR7" s="1250">
        <v>260.5</v>
      </c>
      <c r="BS7" s="1250">
        <v>254.3</v>
      </c>
      <c r="BT7" s="1250">
        <v>261.39999999999998</v>
      </c>
      <c r="BU7" s="1250">
        <v>263.89999999999998</v>
      </c>
      <c r="BV7" s="1250">
        <v>253.6</v>
      </c>
      <c r="BW7" s="1250">
        <v>249.6</v>
      </c>
      <c r="BX7" s="1250">
        <v>255.3</v>
      </c>
      <c r="BY7" s="1250">
        <v>254.1</v>
      </c>
      <c r="BZ7" s="1250">
        <v>276.60000000000002</v>
      </c>
      <c r="CA7" s="1250">
        <v>282.7</v>
      </c>
      <c r="CB7" s="1250">
        <v>282</v>
      </c>
      <c r="CC7" s="1250">
        <v>331.8</v>
      </c>
      <c r="CD7" s="1250">
        <v>309.39999999999998</v>
      </c>
      <c r="CE7" s="1250">
        <v>305.60000000000002</v>
      </c>
      <c r="CF7" s="1250">
        <v>319.3</v>
      </c>
      <c r="CG7" s="1250">
        <v>315.2</v>
      </c>
      <c r="CH7" s="1250">
        <v>307.2</v>
      </c>
      <c r="CI7" s="1250">
        <v>298.2</v>
      </c>
      <c r="CJ7" s="1250">
        <v>304.10000000000002</v>
      </c>
      <c r="CK7" s="1250">
        <v>311.10000000000002</v>
      </c>
      <c r="CL7" s="1250">
        <v>275.10000000000002</v>
      </c>
      <c r="CM7" s="1250">
        <v>284.8</v>
      </c>
      <c r="CN7" s="1250">
        <v>285.8</v>
      </c>
      <c r="CO7" s="1250">
        <v>270</v>
      </c>
      <c r="CP7" s="1250">
        <v>273.3</v>
      </c>
      <c r="CQ7" s="1250">
        <v>265.2</v>
      </c>
      <c r="CR7" s="1250">
        <v>277.60000000000002</v>
      </c>
      <c r="CS7" s="1250">
        <v>263.10000000000002</v>
      </c>
      <c r="CT7" s="1250">
        <v>296.3</v>
      </c>
      <c r="CU7" s="1250">
        <v>313.3</v>
      </c>
      <c r="CV7" s="1250">
        <v>296.2</v>
      </c>
      <c r="CW7" s="1250">
        <v>244.4</v>
      </c>
      <c r="CX7" s="1250">
        <v>251.4</v>
      </c>
      <c r="CY7" s="1250">
        <v>288.2</v>
      </c>
      <c r="CZ7" s="1250">
        <v>277.7</v>
      </c>
      <c r="DA7" s="1250">
        <v>288</v>
      </c>
      <c r="DB7" s="1250">
        <v>271.7</v>
      </c>
      <c r="DC7" s="1250">
        <v>280.3</v>
      </c>
      <c r="DD7" s="1250">
        <v>277.3</v>
      </c>
      <c r="DE7" s="1250">
        <v>267.89999999999998</v>
      </c>
      <c r="DF7" s="1250">
        <v>269.89999999999998</v>
      </c>
      <c r="DG7" s="1250">
        <v>307.3</v>
      </c>
      <c r="DH7" s="1250">
        <v>291.3</v>
      </c>
      <c r="DI7" s="1250">
        <v>288</v>
      </c>
      <c r="DJ7" s="1250">
        <v>285</v>
      </c>
      <c r="DK7" s="1250">
        <v>334.1</v>
      </c>
      <c r="DL7" s="1250">
        <v>338.4</v>
      </c>
      <c r="DM7" s="1250">
        <v>339.7</v>
      </c>
      <c r="DN7" s="1250">
        <v>338.2</v>
      </c>
      <c r="DO7" s="1250">
        <v>335.3</v>
      </c>
      <c r="DP7" s="1250">
        <v>270.10000000000002</v>
      </c>
      <c r="DQ7" s="1250">
        <v>306.60000000000002</v>
      </c>
      <c r="DR7" s="1250">
        <v>289.8</v>
      </c>
      <c r="DS7" s="1250">
        <v>308</v>
      </c>
      <c r="DT7" s="1250">
        <v>371.1</v>
      </c>
      <c r="DU7" s="1250">
        <v>295.3</v>
      </c>
      <c r="DV7" s="1250">
        <v>308</v>
      </c>
      <c r="DW7" s="1250">
        <v>293.3</v>
      </c>
      <c r="DX7" s="1250">
        <v>292.60000000000002</v>
      </c>
      <c r="DY7" s="1250">
        <v>346</v>
      </c>
      <c r="DZ7" s="1250">
        <v>259.39999999999998</v>
      </c>
      <c r="EA7" s="1250">
        <v>253.2</v>
      </c>
      <c r="EB7" s="1250">
        <v>253.4</v>
      </c>
      <c r="EC7" s="1250">
        <v>252.5</v>
      </c>
      <c r="ED7" s="1250">
        <v>251.5</v>
      </c>
      <c r="EE7" s="1250">
        <v>261.5</v>
      </c>
      <c r="EF7" s="1250">
        <v>273.60000000000002</v>
      </c>
      <c r="EG7" s="1250">
        <v>266.5</v>
      </c>
      <c r="EH7" s="1250">
        <v>268.8</v>
      </c>
      <c r="EI7" s="1250">
        <v>278.39999999999998</v>
      </c>
      <c r="EJ7" s="1250">
        <v>274.89999999999998</v>
      </c>
      <c r="EK7" s="1250">
        <v>267.60000000000002</v>
      </c>
      <c r="EL7" s="1250">
        <v>270.5</v>
      </c>
      <c r="EM7" s="1250">
        <v>269.39999999999998</v>
      </c>
      <c r="EN7" s="1250">
        <v>274.5</v>
      </c>
      <c r="EO7" s="1250">
        <v>270.89999999999998</v>
      </c>
      <c r="EP7" s="1250">
        <v>248.4</v>
      </c>
      <c r="EQ7" s="1250">
        <v>257.60000000000002</v>
      </c>
      <c r="ER7" s="1250">
        <v>258.39999999999998</v>
      </c>
      <c r="ES7" s="1250">
        <v>296.60000000000002</v>
      </c>
      <c r="ET7" s="1250">
        <v>309.2</v>
      </c>
      <c r="EU7" s="1250">
        <v>298</v>
      </c>
      <c r="EV7" s="1250">
        <v>282.5</v>
      </c>
      <c r="EW7" s="1250">
        <v>289.3</v>
      </c>
      <c r="EX7" s="1250">
        <v>334.9</v>
      </c>
      <c r="EY7" s="1250">
        <v>304.89999999999998</v>
      </c>
      <c r="EZ7" s="1250">
        <v>295.2</v>
      </c>
      <c r="FA7" s="1250">
        <v>286.60000000000002</v>
      </c>
      <c r="FB7" s="1250">
        <v>307.60000000000002</v>
      </c>
      <c r="FC7" s="1250">
        <v>259.39999999999998</v>
      </c>
      <c r="FD7" s="1250">
        <v>257.3</v>
      </c>
      <c r="FE7" s="1250">
        <v>259.7</v>
      </c>
      <c r="FF7" s="1250">
        <v>268.2</v>
      </c>
      <c r="FG7" s="1250">
        <v>254.8</v>
      </c>
      <c r="FH7" s="1250">
        <v>253.1</v>
      </c>
      <c r="FI7" s="1250">
        <v>260.3</v>
      </c>
      <c r="FJ7" s="1250">
        <v>263.2</v>
      </c>
      <c r="FK7" s="1250">
        <v>241.2</v>
      </c>
      <c r="FL7" s="1250">
        <v>252.4</v>
      </c>
      <c r="FM7" s="1250">
        <v>245.7</v>
      </c>
      <c r="FN7" s="1250">
        <v>245.6</v>
      </c>
      <c r="FO7" s="1250">
        <v>246.7</v>
      </c>
      <c r="FP7" s="1250">
        <v>251.5</v>
      </c>
      <c r="FQ7" s="1250">
        <v>256.7</v>
      </c>
      <c r="FR7" s="1250">
        <v>248.6</v>
      </c>
      <c r="FS7" s="1250">
        <v>250.1</v>
      </c>
      <c r="FT7" s="1250">
        <v>249.6</v>
      </c>
      <c r="FU7" s="1250">
        <v>256.5</v>
      </c>
      <c r="FV7" s="1250">
        <v>247.8</v>
      </c>
      <c r="FW7" s="1250">
        <v>244.5</v>
      </c>
      <c r="FX7" s="1250">
        <v>240.3</v>
      </c>
      <c r="FY7" s="1250">
        <v>259.7</v>
      </c>
      <c r="FZ7" s="1250">
        <v>267.89999999999998</v>
      </c>
      <c r="GA7" s="1250">
        <v>275.3</v>
      </c>
      <c r="GB7" s="1250">
        <v>271.39999999999998</v>
      </c>
      <c r="GC7" s="1250">
        <v>280.60000000000002</v>
      </c>
      <c r="GD7" s="1250">
        <v>252.7</v>
      </c>
      <c r="GE7" s="1250">
        <v>257.7</v>
      </c>
      <c r="GF7" s="1247">
        <f>(GD7+GH7)/2</f>
        <v>256</v>
      </c>
      <c r="GG7" s="1247">
        <f>(GC7+GH7)/2</f>
        <v>269.95000000000005</v>
      </c>
      <c r="GH7" s="1249">
        <v>259.3</v>
      </c>
      <c r="GI7" s="1250">
        <v>253.2</v>
      </c>
      <c r="GJ7" s="1250">
        <v>317.5</v>
      </c>
      <c r="GK7" s="1250">
        <v>278.7</v>
      </c>
      <c r="GL7" s="1250">
        <v>309.10000000000002</v>
      </c>
      <c r="GM7" s="1250">
        <v>279.8</v>
      </c>
      <c r="GN7" s="1250">
        <v>283.89999999999998</v>
      </c>
      <c r="GO7" s="1250">
        <v>285.60000000000002</v>
      </c>
      <c r="GP7" s="1250">
        <v>296.8</v>
      </c>
      <c r="GQ7" s="1250">
        <v>297.5</v>
      </c>
      <c r="GR7" s="1250">
        <v>298.3</v>
      </c>
      <c r="GS7" s="1250">
        <v>297</v>
      </c>
      <c r="GT7" s="1250">
        <v>264.8</v>
      </c>
      <c r="GU7" s="1250">
        <v>343.1</v>
      </c>
      <c r="GV7" s="1250">
        <v>342.6</v>
      </c>
      <c r="GW7" s="1250">
        <v>336.7</v>
      </c>
      <c r="GX7" s="1250">
        <v>333.8</v>
      </c>
      <c r="GY7" s="1250">
        <v>329</v>
      </c>
      <c r="GZ7" s="1250">
        <v>336</v>
      </c>
      <c r="HA7" s="1250">
        <v>329.2</v>
      </c>
      <c r="HB7" s="1250">
        <v>342.6</v>
      </c>
      <c r="HC7" s="1250">
        <v>334.4</v>
      </c>
      <c r="HD7" s="1250">
        <v>320.39999999999998</v>
      </c>
      <c r="HE7" s="759"/>
      <c r="HF7" s="759">
        <f t="shared" ref="HF7:HF34" si="0">MAX(B7:HD7)</f>
        <v>377.8</v>
      </c>
    </row>
    <row r="8" spans="1:214" ht="42" customHeight="1">
      <c r="A8" s="1249">
        <v>2024</v>
      </c>
      <c r="B8" s="1250">
        <v>256.5</v>
      </c>
      <c r="C8" s="1250">
        <v>253.1</v>
      </c>
      <c r="D8" s="1250">
        <v>250.9</v>
      </c>
      <c r="E8" s="1250">
        <v>255</v>
      </c>
      <c r="F8" s="1250">
        <v>252</v>
      </c>
      <c r="G8" s="1250">
        <v>344.3</v>
      </c>
      <c r="H8" s="1250">
        <v>252.7</v>
      </c>
      <c r="I8" s="1250">
        <v>248</v>
      </c>
      <c r="J8" s="1250">
        <v>234.6</v>
      </c>
      <c r="K8" s="1250">
        <v>241.1</v>
      </c>
      <c r="L8" s="1250">
        <v>314</v>
      </c>
      <c r="M8" s="1250">
        <v>318.89999999999998</v>
      </c>
      <c r="N8" s="1250">
        <v>321.10000000000002</v>
      </c>
      <c r="O8" s="1250">
        <v>314.7</v>
      </c>
      <c r="P8" s="1250">
        <v>317.60000000000002</v>
      </c>
      <c r="Q8" s="1250">
        <v>315.60000000000002</v>
      </c>
      <c r="R8" s="1250">
        <v>311.8</v>
      </c>
      <c r="S8" s="1250">
        <v>306.2</v>
      </c>
      <c r="T8" s="1250">
        <v>354.8</v>
      </c>
      <c r="U8" s="1250">
        <v>313</v>
      </c>
      <c r="V8" s="1250">
        <v>321.8</v>
      </c>
      <c r="W8" s="1250">
        <v>319.8</v>
      </c>
      <c r="X8" s="1250">
        <v>247.9</v>
      </c>
      <c r="Y8" s="1250">
        <v>260.10000000000002</v>
      </c>
      <c r="Z8" s="1250">
        <v>253.8</v>
      </c>
      <c r="AA8" s="1250">
        <v>307.2</v>
      </c>
      <c r="AB8" s="1250">
        <v>306.60000000000002</v>
      </c>
      <c r="AC8" s="1250">
        <v>311.3</v>
      </c>
      <c r="AD8" s="1250">
        <v>305.60000000000002</v>
      </c>
      <c r="AE8" s="1250">
        <v>307</v>
      </c>
      <c r="AF8" s="1250">
        <v>306.39999999999998</v>
      </c>
      <c r="AG8" s="1250">
        <v>307.10000000000002</v>
      </c>
      <c r="AH8" s="1250">
        <v>306.3</v>
      </c>
      <c r="AI8" s="1250">
        <v>306.5</v>
      </c>
      <c r="AJ8" s="1250">
        <v>286.3</v>
      </c>
      <c r="AK8" s="1250">
        <v>249.1</v>
      </c>
      <c r="AL8" s="1250">
        <v>246.4</v>
      </c>
      <c r="AM8" s="1250">
        <v>253.4</v>
      </c>
      <c r="AN8" s="1250">
        <v>251.7</v>
      </c>
      <c r="AO8" s="1250">
        <v>249.8</v>
      </c>
      <c r="AP8" s="1250">
        <v>251.6</v>
      </c>
      <c r="AQ8" s="1250">
        <v>259.8</v>
      </c>
      <c r="AR8" s="1250">
        <v>260.39999999999998</v>
      </c>
      <c r="AS8" s="1250">
        <v>263.2</v>
      </c>
      <c r="AT8" s="1250">
        <v>257.7</v>
      </c>
      <c r="AU8" s="1250">
        <v>262.10000000000002</v>
      </c>
      <c r="AV8" s="1250">
        <v>361.5</v>
      </c>
      <c r="AW8" s="1250">
        <v>265.89999999999998</v>
      </c>
      <c r="AX8" s="1250">
        <v>266.2</v>
      </c>
      <c r="AY8" s="1250">
        <v>344.7</v>
      </c>
      <c r="AZ8" s="1250">
        <v>290.8</v>
      </c>
      <c r="BA8" s="1250">
        <v>337.9</v>
      </c>
      <c r="BB8" s="1250">
        <v>294.2</v>
      </c>
      <c r="BC8" s="1250">
        <v>314.89999999999998</v>
      </c>
      <c r="BD8" s="1250">
        <v>294.7</v>
      </c>
      <c r="BE8" s="1250">
        <v>260.2</v>
      </c>
      <c r="BF8" s="1250">
        <v>264.8</v>
      </c>
      <c r="BG8" s="1250">
        <v>264.5</v>
      </c>
      <c r="BH8" s="1250">
        <v>297</v>
      </c>
      <c r="BI8" s="1250">
        <v>265.60000000000002</v>
      </c>
      <c r="BJ8" s="1250">
        <v>260</v>
      </c>
      <c r="BK8" s="1250">
        <v>274.5</v>
      </c>
      <c r="BL8" s="1250">
        <v>262.60000000000002</v>
      </c>
      <c r="BM8" s="1250">
        <v>266.89999999999998</v>
      </c>
      <c r="BN8" s="1250">
        <v>273.39999999999998</v>
      </c>
      <c r="BO8" s="1250">
        <v>278.7</v>
      </c>
      <c r="BP8" s="1250">
        <v>260.60000000000002</v>
      </c>
      <c r="BQ8" s="1250">
        <v>263.7</v>
      </c>
      <c r="BR8" s="1250">
        <v>263.7</v>
      </c>
      <c r="BS8" s="1250">
        <v>258.8</v>
      </c>
      <c r="BT8" s="1250">
        <v>266.8</v>
      </c>
      <c r="BU8" s="1250">
        <v>266.60000000000002</v>
      </c>
      <c r="BV8" s="1250">
        <v>255.3</v>
      </c>
      <c r="BW8" s="1250">
        <v>250.9</v>
      </c>
      <c r="BX8" s="1250">
        <v>255.4</v>
      </c>
      <c r="BY8" s="1250">
        <v>255.1</v>
      </c>
      <c r="BZ8" s="1250">
        <v>273.8</v>
      </c>
      <c r="CA8" s="1250">
        <v>286.7</v>
      </c>
      <c r="CB8" s="1250">
        <v>278.89999999999998</v>
      </c>
      <c r="CC8" s="1250">
        <v>323.10000000000002</v>
      </c>
      <c r="CD8" s="1250">
        <v>311.5</v>
      </c>
      <c r="CE8" s="1250">
        <v>306.8</v>
      </c>
      <c r="CF8" s="1250">
        <v>327.3</v>
      </c>
      <c r="CG8" s="1250">
        <v>320.10000000000002</v>
      </c>
      <c r="CH8" s="1250">
        <v>305.7</v>
      </c>
      <c r="CI8" s="1250">
        <v>294.8</v>
      </c>
      <c r="CJ8" s="1250">
        <v>298.8</v>
      </c>
      <c r="CK8" s="1250">
        <v>307.89999999999998</v>
      </c>
      <c r="CL8" s="1250">
        <v>290.3</v>
      </c>
      <c r="CM8" s="1250">
        <v>293.89999999999998</v>
      </c>
      <c r="CN8" s="1250">
        <v>294.3</v>
      </c>
      <c r="CO8" s="1250">
        <v>280.39999999999998</v>
      </c>
      <c r="CP8" s="1250">
        <v>286.89999999999998</v>
      </c>
      <c r="CQ8" s="1250">
        <v>275.2</v>
      </c>
      <c r="CR8" s="1250">
        <v>287</v>
      </c>
      <c r="CS8" s="1250">
        <v>275.8</v>
      </c>
      <c r="CT8" s="1250">
        <v>299.8</v>
      </c>
      <c r="CU8" s="1250">
        <v>313.10000000000002</v>
      </c>
      <c r="CV8" s="1250">
        <v>295.39999999999998</v>
      </c>
      <c r="CW8" s="1250">
        <v>246.3</v>
      </c>
      <c r="CX8" s="1250">
        <v>254.4</v>
      </c>
      <c r="CY8" s="1250">
        <v>291.8</v>
      </c>
      <c r="CZ8" s="1250">
        <v>275.5</v>
      </c>
      <c r="DA8" s="1250">
        <v>288.10000000000002</v>
      </c>
      <c r="DB8" s="1250">
        <v>260.39999999999998</v>
      </c>
      <c r="DC8" s="1250">
        <v>263.5</v>
      </c>
      <c r="DD8" s="1250">
        <v>259.5</v>
      </c>
      <c r="DE8" s="1250">
        <v>266.8</v>
      </c>
      <c r="DF8" s="1250">
        <v>273.39999999999998</v>
      </c>
      <c r="DG8" s="1250">
        <v>307.8</v>
      </c>
      <c r="DH8" s="1250">
        <v>288</v>
      </c>
      <c r="DI8" s="1250">
        <v>288.7</v>
      </c>
      <c r="DJ8" s="1250">
        <v>287</v>
      </c>
      <c r="DK8" s="1250">
        <v>329.1</v>
      </c>
      <c r="DL8" s="1250">
        <v>321.7</v>
      </c>
      <c r="DM8" s="1250">
        <v>330.1</v>
      </c>
      <c r="DN8" s="1250">
        <v>322.10000000000002</v>
      </c>
      <c r="DO8" s="1250">
        <v>331.7</v>
      </c>
      <c r="DP8" s="1250">
        <v>258.89999999999998</v>
      </c>
      <c r="DQ8" s="1250">
        <v>299</v>
      </c>
      <c r="DR8" s="1250">
        <v>289.5</v>
      </c>
      <c r="DS8" s="1250">
        <v>301</v>
      </c>
      <c r="DT8" s="1250">
        <v>374.3</v>
      </c>
      <c r="DU8" s="1250">
        <v>294.7</v>
      </c>
      <c r="DV8" s="1250">
        <v>292.89999999999998</v>
      </c>
      <c r="DW8" s="1250">
        <v>289.2</v>
      </c>
      <c r="DX8" s="1250">
        <v>286.8</v>
      </c>
      <c r="DY8" s="1250">
        <v>343.4</v>
      </c>
      <c r="DZ8" s="1250">
        <v>257.89999999999998</v>
      </c>
      <c r="EA8" s="1250">
        <v>246.7</v>
      </c>
      <c r="EB8" s="1250">
        <v>243.3</v>
      </c>
      <c r="EC8" s="1250">
        <v>241.4</v>
      </c>
      <c r="ED8" s="1250">
        <v>242.8</v>
      </c>
      <c r="EE8" s="1250">
        <v>258.8</v>
      </c>
      <c r="EF8" s="1250">
        <v>266.3</v>
      </c>
      <c r="EG8" s="1250">
        <v>264.5</v>
      </c>
      <c r="EH8" s="1250">
        <v>261.2</v>
      </c>
      <c r="EI8" s="1250">
        <v>269.10000000000002</v>
      </c>
      <c r="EJ8" s="1250">
        <v>265</v>
      </c>
      <c r="EK8" s="1250">
        <v>256.5</v>
      </c>
      <c r="EL8" s="1250">
        <v>259.5</v>
      </c>
      <c r="EM8" s="1250">
        <v>253.2</v>
      </c>
      <c r="EN8" s="1250">
        <v>270.10000000000002</v>
      </c>
      <c r="EO8" s="1250">
        <v>257.7</v>
      </c>
      <c r="EP8" s="1250">
        <v>256.10000000000002</v>
      </c>
      <c r="EQ8" s="1250">
        <v>258.39999999999998</v>
      </c>
      <c r="ER8" s="1250">
        <v>245.5</v>
      </c>
      <c r="ES8" s="1250">
        <v>284.8</v>
      </c>
      <c r="ET8" s="1250">
        <v>289.2</v>
      </c>
      <c r="EU8" s="1250">
        <v>290.39999999999998</v>
      </c>
      <c r="EV8" s="1250">
        <v>274.89999999999998</v>
      </c>
      <c r="EW8" s="1250">
        <v>294.3</v>
      </c>
      <c r="EX8" s="1250">
        <v>331.8</v>
      </c>
      <c r="EY8" s="1250">
        <v>299.2</v>
      </c>
      <c r="EZ8" s="1250">
        <v>287.60000000000002</v>
      </c>
      <c r="FA8" s="1250">
        <v>281.8</v>
      </c>
      <c r="FB8" s="1250">
        <v>304.89999999999998</v>
      </c>
      <c r="FC8" s="1250">
        <v>255.2</v>
      </c>
      <c r="FD8" s="1250">
        <v>259.39999999999998</v>
      </c>
      <c r="FE8" s="1250">
        <v>249.2</v>
      </c>
      <c r="FF8" s="1250">
        <v>266.8</v>
      </c>
      <c r="FG8" s="1250">
        <v>260.3</v>
      </c>
      <c r="FH8" s="1250">
        <v>254.2</v>
      </c>
      <c r="FI8" s="1250">
        <v>267.3</v>
      </c>
      <c r="FJ8" s="1250">
        <v>267</v>
      </c>
      <c r="FK8" s="1250">
        <v>243.3</v>
      </c>
      <c r="FL8" s="1250">
        <v>248.2</v>
      </c>
      <c r="FM8" s="1250">
        <v>252.3</v>
      </c>
      <c r="FN8" s="1250">
        <v>242.8</v>
      </c>
      <c r="FO8" s="1250">
        <v>249.7</v>
      </c>
      <c r="FP8" s="1250">
        <v>239.5</v>
      </c>
      <c r="FQ8" s="1250">
        <v>246</v>
      </c>
      <c r="FR8" s="1250">
        <v>244.1</v>
      </c>
      <c r="FS8" s="1250">
        <v>248</v>
      </c>
      <c r="FT8" s="1250">
        <v>245.5</v>
      </c>
      <c r="FU8" s="1250">
        <v>244.2</v>
      </c>
      <c r="FV8" s="1250">
        <v>247.3</v>
      </c>
      <c r="FW8" s="1250">
        <v>241.1</v>
      </c>
      <c r="FX8" s="1250">
        <v>239.4</v>
      </c>
      <c r="FY8" s="1250">
        <v>251.9</v>
      </c>
      <c r="FZ8" s="1250">
        <v>259.3</v>
      </c>
      <c r="GA8" s="1250">
        <v>273.39999999999998</v>
      </c>
      <c r="GB8" s="1250">
        <v>266.39999999999998</v>
      </c>
      <c r="GC8" s="1250">
        <v>279.3</v>
      </c>
      <c r="GD8" s="1250">
        <v>256.60000000000002</v>
      </c>
      <c r="GE8" s="1250">
        <v>261.89999999999998</v>
      </c>
      <c r="GF8" s="1247">
        <f>(GD8+GH8)/2</f>
        <v>259.39999999999998</v>
      </c>
      <c r="GG8" s="1247">
        <f t="shared" ref="GG8:GG34" si="1">(GC8+GH8)/2</f>
        <v>270.75</v>
      </c>
      <c r="GH8" s="1249">
        <v>262.2</v>
      </c>
      <c r="GI8" s="1250">
        <v>262.2</v>
      </c>
      <c r="GJ8" s="1250">
        <v>298.89999999999998</v>
      </c>
      <c r="GK8" s="1250">
        <v>275.89999999999998</v>
      </c>
      <c r="GL8" s="1250">
        <v>295.10000000000002</v>
      </c>
      <c r="GM8" s="1250">
        <v>275.60000000000002</v>
      </c>
      <c r="GN8" s="1250">
        <v>278.7</v>
      </c>
      <c r="GO8" s="1250">
        <v>287.5</v>
      </c>
      <c r="GP8" s="1250">
        <v>294.8</v>
      </c>
      <c r="GQ8" s="1250">
        <v>298.10000000000002</v>
      </c>
      <c r="GR8" s="1250">
        <v>289.3</v>
      </c>
      <c r="GS8" s="1250">
        <v>291.60000000000002</v>
      </c>
      <c r="GT8" s="1250">
        <v>262.39999999999998</v>
      </c>
      <c r="GU8" s="1250">
        <v>319.8</v>
      </c>
      <c r="GV8" s="1250">
        <v>318.39999999999998</v>
      </c>
      <c r="GW8" s="1250">
        <v>311.89999999999998</v>
      </c>
      <c r="GX8" s="1250">
        <v>315.2</v>
      </c>
      <c r="GY8" s="1250">
        <v>291.2</v>
      </c>
      <c r="GZ8" s="1250">
        <v>305.3</v>
      </c>
      <c r="HA8" s="1250">
        <v>290.60000000000002</v>
      </c>
      <c r="HB8" s="1250">
        <v>311.5</v>
      </c>
      <c r="HC8" s="1250">
        <v>310.2</v>
      </c>
      <c r="HD8" s="1250">
        <v>294.3</v>
      </c>
      <c r="HE8" s="759"/>
      <c r="HF8" s="759">
        <f t="shared" si="0"/>
        <v>374.3</v>
      </c>
    </row>
    <row r="9" spans="1:214" ht="22.15" customHeight="1">
      <c r="A9" s="1249">
        <v>2023</v>
      </c>
      <c r="B9" s="1249">
        <v>267.60000000000002</v>
      </c>
      <c r="C9" s="1249">
        <v>265.39999999999998</v>
      </c>
      <c r="D9" s="1249">
        <v>260.8</v>
      </c>
      <c r="E9" s="1249">
        <v>265.10000000000002</v>
      </c>
      <c r="F9" s="1249">
        <v>263.5</v>
      </c>
      <c r="G9" s="1249">
        <v>352.5</v>
      </c>
      <c r="H9" s="1249">
        <v>281.3</v>
      </c>
      <c r="I9" s="1249">
        <v>271.10000000000002</v>
      </c>
      <c r="J9" s="1249">
        <v>250.5</v>
      </c>
      <c r="K9" s="1249">
        <v>255.9</v>
      </c>
      <c r="L9" s="1249">
        <v>331.2</v>
      </c>
      <c r="M9" s="1249">
        <v>335.3</v>
      </c>
      <c r="N9" s="1249">
        <v>339.6</v>
      </c>
      <c r="O9" s="1249">
        <v>346.9</v>
      </c>
      <c r="P9" s="1249">
        <v>333.4</v>
      </c>
      <c r="Q9" s="1249">
        <v>331.4</v>
      </c>
      <c r="R9" s="1249">
        <v>340</v>
      </c>
      <c r="S9" s="1249">
        <v>338.4</v>
      </c>
      <c r="T9" s="1249">
        <v>386.1</v>
      </c>
      <c r="U9" s="1249">
        <v>330.8</v>
      </c>
      <c r="V9" s="1249">
        <v>340.7</v>
      </c>
      <c r="W9" s="1249">
        <v>348.2</v>
      </c>
      <c r="X9" s="1249">
        <v>266.89999999999998</v>
      </c>
      <c r="Y9" s="1249">
        <v>279.5</v>
      </c>
      <c r="Z9" s="1249">
        <v>270.7</v>
      </c>
      <c r="AA9" s="1249">
        <v>317.5</v>
      </c>
      <c r="AB9" s="1249">
        <v>317.3</v>
      </c>
      <c r="AC9" s="1249">
        <v>321.2</v>
      </c>
      <c r="AD9" s="1249">
        <v>315.89999999999998</v>
      </c>
      <c r="AE9" s="1249">
        <v>317.10000000000002</v>
      </c>
      <c r="AF9" s="1249">
        <v>316.5</v>
      </c>
      <c r="AG9" s="1249">
        <v>317.2</v>
      </c>
      <c r="AH9" s="1249">
        <v>317</v>
      </c>
      <c r="AI9" s="1249">
        <v>310.3</v>
      </c>
      <c r="AJ9" s="1249">
        <v>289.10000000000002</v>
      </c>
      <c r="AK9" s="1249">
        <v>262.7</v>
      </c>
      <c r="AL9" s="1249">
        <v>261.8</v>
      </c>
      <c r="AM9" s="1249">
        <v>268</v>
      </c>
      <c r="AN9" s="1249">
        <v>270.39999999999998</v>
      </c>
      <c r="AO9" s="1249">
        <v>263.8</v>
      </c>
      <c r="AP9" s="1249">
        <v>265.8</v>
      </c>
      <c r="AQ9" s="1249">
        <v>266.8</v>
      </c>
      <c r="AR9" s="1249">
        <v>275.39999999999998</v>
      </c>
      <c r="AS9" s="1249">
        <v>267.8</v>
      </c>
      <c r="AT9" s="1249">
        <v>266.39999999999998</v>
      </c>
      <c r="AU9" s="1249">
        <v>270.60000000000002</v>
      </c>
      <c r="AV9" s="1249">
        <v>355.5</v>
      </c>
      <c r="AW9" s="1249">
        <v>283.8</v>
      </c>
      <c r="AX9" s="1249">
        <v>282</v>
      </c>
      <c r="AY9" s="1249">
        <v>344.1</v>
      </c>
      <c r="AZ9" s="1249">
        <v>294.8</v>
      </c>
      <c r="BA9" s="1249">
        <v>336.1</v>
      </c>
      <c r="BB9" s="1249">
        <v>296.2</v>
      </c>
      <c r="BC9" s="1249">
        <v>317.5</v>
      </c>
      <c r="BD9" s="1249">
        <v>298.5</v>
      </c>
      <c r="BE9" s="1249">
        <v>262.8</v>
      </c>
      <c r="BF9" s="1249">
        <v>269.39999999999998</v>
      </c>
      <c r="BG9" s="1249">
        <v>262.5</v>
      </c>
      <c r="BH9" s="1249">
        <v>290.2</v>
      </c>
      <c r="BI9" s="1249">
        <v>275.10000000000002</v>
      </c>
      <c r="BJ9" s="1249">
        <v>264.60000000000002</v>
      </c>
      <c r="BK9" s="1249">
        <v>275.5</v>
      </c>
      <c r="BL9" s="1249">
        <v>269.60000000000002</v>
      </c>
      <c r="BM9" s="1249">
        <v>273.10000000000002</v>
      </c>
      <c r="BN9" s="1249">
        <v>280.60000000000002</v>
      </c>
      <c r="BO9" s="1249">
        <v>285.10000000000002</v>
      </c>
      <c r="BP9" s="1249">
        <v>265.2</v>
      </c>
      <c r="BQ9" s="1249">
        <v>267.7</v>
      </c>
      <c r="BR9" s="1249">
        <v>259.7</v>
      </c>
      <c r="BS9" s="1249">
        <v>254.8</v>
      </c>
      <c r="BT9" s="1249">
        <v>263.39999999999998</v>
      </c>
      <c r="BU9" s="1249">
        <v>269.60000000000002</v>
      </c>
      <c r="BV9" s="1249">
        <v>260.89999999999998</v>
      </c>
      <c r="BW9" s="1249">
        <v>253.7</v>
      </c>
      <c r="BX9" s="1249">
        <v>265.3</v>
      </c>
      <c r="BY9" s="1249">
        <v>261.5</v>
      </c>
      <c r="BZ9" s="1249">
        <v>277</v>
      </c>
      <c r="CA9" s="1249">
        <v>284.10000000000002</v>
      </c>
      <c r="CB9" s="1249">
        <v>284.3</v>
      </c>
      <c r="CC9" s="1249">
        <v>337.7</v>
      </c>
      <c r="CD9" s="1249">
        <v>307.10000000000002</v>
      </c>
      <c r="CE9" s="1249">
        <v>305.60000000000002</v>
      </c>
      <c r="CF9" s="1249">
        <v>315.60000000000002</v>
      </c>
      <c r="CG9" s="1249">
        <v>316.10000000000002</v>
      </c>
      <c r="CH9" s="1249">
        <v>304.7</v>
      </c>
      <c r="CI9" s="1249">
        <v>293.39999999999998</v>
      </c>
      <c r="CJ9" s="1249">
        <v>301.60000000000002</v>
      </c>
      <c r="CK9" s="1249">
        <v>309.10000000000002</v>
      </c>
      <c r="CL9" s="1249">
        <v>280</v>
      </c>
      <c r="CM9" s="1249">
        <v>284.2</v>
      </c>
      <c r="CN9" s="1249">
        <v>287.7</v>
      </c>
      <c r="CO9" s="1249">
        <v>271.3</v>
      </c>
      <c r="CP9" s="1249">
        <v>274.8</v>
      </c>
      <c r="CQ9" s="1249">
        <v>270</v>
      </c>
      <c r="CR9" s="1249">
        <v>276.5</v>
      </c>
      <c r="CS9" s="1249">
        <v>265.89999999999998</v>
      </c>
      <c r="CT9" s="1249">
        <v>297.39999999999998</v>
      </c>
      <c r="CU9" s="1249">
        <v>313.7</v>
      </c>
      <c r="CV9" s="1249">
        <v>294.60000000000002</v>
      </c>
      <c r="CW9" s="1249">
        <v>251.9</v>
      </c>
      <c r="CX9" s="1249">
        <v>259.60000000000002</v>
      </c>
      <c r="CY9" s="1249">
        <v>292.39999999999998</v>
      </c>
      <c r="CZ9" s="1249">
        <v>272.10000000000002</v>
      </c>
      <c r="DA9" s="1249">
        <v>290.3</v>
      </c>
      <c r="DB9" s="1249">
        <v>265.2</v>
      </c>
      <c r="DC9" s="1249">
        <v>276.5</v>
      </c>
      <c r="DD9" s="1249">
        <v>274.10000000000002</v>
      </c>
      <c r="DE9" s="1249">
        <v>264</v>
      </c>
      <c r="DF9" s="1249">
        <v>268.39999999999998</v>
      </c>
      <c r="DG9" s="1249">
        <v>318.89999999999998</v>
      </c>
      <c r="DH9" s="1249">
        <v>288</v>
      </c>
      <c r="DI9" s="1249">
        <v>291.10000000000002</v>
      </c>
      <c r="DJ9" s="1249">
        <v>287.8</v>
      </c>
      <c r="DK9" s="1249">
        <v>329.7</v>
      </c>
      <c r="DL9" s="1249">
        <v>330.4</v>
      </c>
      <c r="DM9" s="1249">
        <v>338.8</v>
      </c>
      <c r="DN9" s="1249">
        <v>334.8</v>
      </c>
      <c r="DO9" s="1249">
        <v>333.3</v>
      </c>
      <c r="DP9" s="1249">
        <v>269</v>
      </c>
      <c r="DQ9" s="1249">
        <v>306.8</v>
      </c>
      <c r="DR9" s="1249">
        <v>290.89999999999998</v>
      </c>
      <c r="DS9" s="1249">
        <v>310.10000000000002</v>
      </c>
      <c r="DT9" s="1249">
        <v>374.1</v>
      </c>
      <c r="DU9" s="1249">
        <v>298.5</v>
      </c>
      <c r="DV9" s="1249">
        <v>306</v>
      </c>
      <c r="DW9" s="1249">
        <v>294.2</v>
      </c>
      <c r="DX9" s="1249">
        <v>290.60000000000002</v>
      </c>
      <c r="DY9" s="1249">
        <v>343</v>
      </c>
      <c r="DZ9" s="1249">
        <v>262.3</v>
      </c>
      <c r="EA9" s="1249">
        <v>262.3</v>
      </c>
      <c r="EB9" s="1249">
        <v>259.2</v>
      </c>
      <c r="EC9" s="1249">
        <v>285.10000000000002</v>
      </c>
      <c r="ED9" s="1249">
        <v>258.60000000000002</v>
      </c>
      <c r="EE9" s="1249">
        <v>267.89999999999998</v>
      </c>
      <c r="EF9" s="1249">
        <v>280.3</v>
      </c>
      <c r="EG9" s="1249">
        <v>272.2</v>
      </c>
      <c r="EH9" s="1249">
        <v>273.89999999999998</v>
      </c>
      <c r="EI9" s="1249">
        <v>288.60000000000002</v>
      </c>
      <c r="EJ9" s="1249">
        <v>282.10000000000002</v>
      </c>
      <c r="EK9" s="1249">
        <v>268.60000000000002</v>
      </c>
      <c r="EL9" s="1249">
        <v>275.7</v>
      </c>
      <c r="EM9" s="1249">
        <v>269</v>
      </c>
      <c r="EN9" s="1249">
        <v>283.7</v>
      </c>
      <c r="EO9" s="1249">
        <v>274</v>
      </c>
      <c r="EP9" s="1249">
        <v>256.10000000000002</v>
      </c>
      <c r="EQ9" s="1249">
        <v>259.39999999999998</v>
      </c>
      <c r="ER9" s="1249">
        <v>255.2</v>
      </c>
      <c r="ES9" s="1249">
        <v>300.39999999999998</v>
      </c>
      <c r="ET9" s="1249">
        <v>306.39999999999998</v>
      </c>
      <c r="EU9" s="1249">
        <v>295</v>
      </c>
      <c r="EV9" s="1249">
        <v>278.10000000000002</v>
      </c>
      <c r="EW9" s="1249">
        <v>287.7</v>
      </c>
      <c r="EX9" s="1249">
        <v>339.8</v>
      </c>
      <c r="EY9" s="1249">
        <v>300.2</v>
      </c>
      <c r="EZ9" s="1249">
        <v>292.60000000000002</v>
      </c>
      <c r="FA9" s="1249">
        <v>287</v>
      </c>
      <c r="FB9" s="1249">
        <v>316.8</v>
      </c>
      <c r="FC9" s="1249">
        <v>264.3</v>
      </c>
      <c r="FD9" s="1249">
        <v>258.8</v>
      </c>
      <c r="FE9" s="1249">
        <v>256.5</v>
      </c>
      <c r="FF9" s="1249">
        <v>276.89999999999998</v>
      </c>
      <c r="FG9" s="1249">
        <v>252</v>
      </c>
      <c r="FH9" s="1249">
        <v>247.2</v>
      </c>
      <c r="FI9" s="1249">
        <v>259</v>
      </c>
      <c r="FJ9" s="1249">
        <v>258.7</v>
      </c>
      <c r="FK9" s="1249">
        <v>250.1</v>
      </c>
      <c r="FL9" s="1249">
        <v>254.6</v>
      </c>
      <c r="FM9" s="1249">
        <v>254.9</v>
      </c>
      <c r="FN9" s="1249">
        <v>254.5</v>
      </c>
      <c r="FO9" s="1249">
        <v>254.5</v>
      </c>
      <c r="FP9" s="1249">
        <v>261.8</v>
      </c>
      <c r="FQ9" s="1249">
        <v>252.4</v>
      </c>
      <c r="FR9" s="1249">
        <v>258.3</v>
      </c>
      <c r="FS9" s="1249">
        <v>261</v>
      </c>
      <c r="FT9" s="1249">
        <v>252.5</v>
      </c>
      <c r="FU9" s="1249">
        <v>250.2</v>
      </c>
      <c r="FV9" s="1249">
        <v>254.4</v>
      </c>
      <c r="FW9" s="1249">
        <v>252.2</v>
      </c>
      <c r="FX9" s="1249">
        <v>251.3</v>
      </c>
      <c r="FY9" s="1249">
        <v>268.8</v>
      </c>
      <c r="FZ9" s="1249">
        <v>278</v>
      </c>
      <c r="GA9" s="1249">
        <v>282.89999999999998</v>
      </c>
      <c r="GB9" s="1249">
        <v>275.89999999999998</v>
      </c>
      <c r="GC9" s="1249">
        <v>275.89999999999998</v>
      </c>
      <c r="GD9" s="1249">
        <v>256.8</v>
      </c>
      <c r="GE9" s="1249">
        <v>258.5</v>
      </c>
      <c r="GF9" s="1251">
        <v>258.10000000000002</v>
      </c>
      <c r="GG9" s="1251">
        <f>(GC9+GH9)/2</f>
        <v>269.35000000000002</v>
      </c>
      <c r="GH9" s="1249">
        <v>262.8</v>
      </c>
      <c r="GI9" s="1249">
        <v>260.8</v>
      </c>
      <c r="GJ9" s="1249">
        <v>324</v>
      </c>
      <c r="GK9" s="1249">
        <v>286.39999999999998</v>
      </c>
      <c r="GL9" s="1249">
        <v>316.3</v>
      </c>
      <c r="GM9" s="1249">
        <v>282</v>
      </c>
      <c r="GN9" s="1249">
        <v>281.5</v>
      </c>
      <c r="GO9" s="1249">
        <v>294.5</v>
      </c>
      <c r="GP9" s="1249">
        <v>297</v>
      </c>
      <c r="GQ9" s="1249">
        <v>296.3</v>
      </c>
      <c r="GR9" s="1249">
        <v>306.60000000000002</v>
      </c>
      <c r="GS9" s="1249">
        <v>295.60000000000002</v>
      </c>
      <c r="GT9" s="1249">
        <v>269.60000000000002</v>
      </c>
      <c r="GU9" s="1249">
        <v>342.8</v>
      </c>
      <c r="GV9" s="1249">
        <v>360.2</v>
      </c>
      <c r="GW9" s="1249">
        <v>361.8</v>
      </c>
      <c r="GX9" s="1249">
        <v>352.7</v>
      </c>
      <c r="GY9" s="1249">
        <v>343.4</v>
      </c>
      <c r="GZ9" s="1249">
        <v>352.6</v>
      </c>
      <c r="HA9" s="1249">
        <v>344.3</v>
      </c>
      <c r="HB9" s="1249">
        <v>359.4</v>
      </c>
      <c r="HC9" s="1249">
        <v>353.4</v>
      </c>
      <c r="HD9" s="1249">
        <v>337.2</v>
      </c>
      <c r="HE9" s="759"/>
      <c r="HF9" s="759">
        <f t="shared" si="0"/>
        <v>386.1</v>
      </c>
    </row>
    <row r="10" spans="1:214" ht="22.15" customHeight="1">
      <c r="A10" s="1249">
        <v>2022</v>
      </c>
      <c r="B10" s="1250">
        <v>245.3</v>
      </c>
      <c r="C10" s="1250">
        <v>243.5</v>
      </c>
      <c r="D10" s="1250">
        <v>239.8</v>
      </c>
      <c r="E10" s="1250">
        <v>243.3</v>
      </c>
      <c r="F10" s="1250">
        <v>242.2</v>
      </c>
      <c r="G10" s="1250">
        <v>316.39999999999998</v>
      </c>
      <c r="H10" s="1250">
        <v>250.3</v>
      </c>
      <c r="I10" s="1250">
        <v>240.1</v>
      </c>
      <c r="J10" s="1250">
        <v>226.3</v>
      </c>
      <c r="K10" s="1250">
        <v>228.7</v>
      </c>
      <c r="L10" s="1250">
        <v>305.3</v>
      </c>
      <c r="M10" s="1250">
        <v>305.8</v>
      </c>
      <c r="N10" s="1250">
        <v>309.7</v>
      </c>
      <c r="O10" s="1250">
        <v>315.89999999999998</v>
      </c>
      <c r="P10" s="1250">
        <v>304.5</v>
      </c>
      <c r="Q10" s="1250">
        <v>304.60000000000002</v>
      </c>
      <c r="R10" s="1250">
        <v>309.2</v>
      </c>
      <c r="S10" s="1250">
        <v>307.39999999999998</v>
      </c>
      <c r="T10" s="1250">
        <v>353.9</v>
      </c>
      <c r="U10" s="1250">
        <v>302.8</v>
      </c>
      <c r="V10" s="1250">
        <v>314</v>
      </c>
      <c r="W10" s="1250">
        <v>319.89999999999998</v>
      </c>
      <c r="X10" s="1250">
        <v>243.3</v>
      </c>
      <c r="Y10" s="1250">
        <v>254.9</v>
      </c>
      <c r="Z10" s="1250">
        <v>244.7</v>
      </c>
      <c r="AA10" s="1250">
        <v>290.5</v>
      </c>
      <c r="AB10" s="1250">
        <v>290.10000000000002</v>
      </c>
      <c r="AC10" s="1250">
        <v>293.2</v>
      </c>
      <c r="AD10" s="1250">
        <v>288.8</v>
      </c>
      <c r="AE10" s="1250">
        <v>291.10000000000002</v>
      </c>
      <c r="AF10" s="1250">
        <v>290</v>
      </c>
      <c r="AG10" s="1250">
        <v>290.60000000000002</v>
      </c>
      <c r="AH10" s="1250">
        <v>290.2</v>
      </c>
      <c r="AI10" s="1250">
        <v>286.7</v>
      </c>
      <c r="AJ10" s="1250">
        <v>268.5</v>
      </c>
      <c r="AK10" s="1250">
        <v>238.6</v>
      </c>
      <c r="AL10" s="1250">
        <v>236.5</v>
      </c>
      <c r="AM10" s="1250">
        <v>243.4</v>
      </c>
      <c r="AN10" s="1250">
        <v>241.7</v>
      </c>
      <c r="AO10" s="1250">
        <v>240.4</v>
      </c>
      <c r="AP10" s="1250">
        <v>243.1</v>
      </c>
      <c r="AQ10" s="1250">
        <v>241.4</v>
      </c>
      <c r="AR10" s="1250">
        <v>249.2</v>
      </c>
      <c r="AS10" s="1250">
        <v>243</v>
      </c>
      <c r="AT10" s="1250">
        <v>240.1</v>
      </c>
      <c r="AU10" s="1250">
        <v>244.8</v>
      </c>
      <c r="AV10" s="1250">
        <v>324.89999999999998</v>
      </c>
      <c r="AW10" s="1250">
        <v>254.4</v>
      </c>
      <c r="AX10" s="1250">
        <v>255.6</v>
      </c>
      <c r="AY10" s="1250">
        <v>324.3</v>
      </c>
      <c r="AZ10" s="1250">
        <v>281.8</v>
      </c>
      <c r="BA10" s="1250">
        <v>318.2</v>
      </c>
      <c r="BB10" s="1250">
        <v>281.3</v>
      </c>
      <c r="BC10" s="1250">
        <v>301.10000000000002</v>
      </c>
      <c r="BD10" s="1250">
        <v>284.89999999999998</v>
      </c>
      <c r="BE10" s="1250">
        <v>244.5</v>
      </c>
      <c r="BF10" s="1250">
        <v>249.7</v>
      </c>
      <c r="BG10" s="1250">
        <v>245.8</v>
      </c>
      <c r="BH10" s="1250">
        <v>272.3</v>
      </c>
      <c r="BI10" s="1250">
        <v>256.3</v>
      </c>
      <c r="BJ10" s="1250">
        <v>243</v>
      </c>
      <c r="BK10" s="1250">
        <v>254.2</v>
      </c>
      <c r="BL10" s="1250">
        <v>246.1</v>
      </c>
      <c r="BM10" s="1250">
        <v>254.3</v>
      </c>
      <c r="BN10" s="1250">
        <v>262.7</v>
      </c>
      <c r="BO10" s="1250">
        <v>258.8</v>
      </c>
      <c r="BP10" s="1250">
        <v>247.2</v>
      </c>
      <c r="BQ10" s="1250">
        <v>242.1</v>
      </c>
      <c r="BR10" s="1250">
        <v>246.6</v>
      </c>
      <c r="BS10" s="1250">
        <v>238.1</v>
      </c>
      <c r="BT10" s="1250">
        <v>239.9</v>
      </c>
      <c r="BU10" s="1250">
        <v>246</v>
      </c>
      <c r="BV10" s="1250">
        <v>233.7</v>
      </c>
      <c r="BW10" s="1250">
        <v>229.6</v>
      </c>
      <c r="BX10" s="1250">
        <v>241.1</v>
      </c>
      <c r="BY10" s="1250">
        <v>232.8</v>
      </c>
      <c r="BZ10" s="1250">
        <v>256.2</v>
      </c>
      <c r="CA10" s="1250">
        <v>262.2</v>
      </c>
      <c r="CB10" s="1250">
        <v>261.39999999999998</v>
      </c>
      <c r="CC10" s="1250">
        <v>314.2</v>
      </c>
      <c r="CD10" s="1250">
        <v>286</v>
      </c>
      <c r="CE10" s="1250">
        <v>283.60000000000002</v>
      </c>
      <c r="CF10" s="1250">
        <v>294.2</v>
      </c>
      <c r="CG10" s="1250">
        <v>294.5</v>
      </c>
      <c r="CH10" s="1250">
        <v>283.5</v>
      </c>
      <c r="CI10" s="1250">
        <v>272.2</v>
      </c>
      <c r="CJ10" s="1250">
        <v>279.89999999999998</v>
      </c>
      <c r="CK10" s="1250">
        <v>288</v>
      </c>
      <c r="CL10" s="1250">
        <v>267.7</v>
      </c>
      <c r="CM10" s="1250">
        <v>271.5</v>
      </c>
      <c r="CN10" s="1250">
        <v>277.7</v>
      </c>
      <c r="CO10" s="1250">
        <v>258.60000000000002</v>
      </c>
      <c r="CP10" s="1250">
        <v>251.2</v>
      </c>
      <c r="CQ10" s="1250">
        <v>247.7</v>
      </c>
      <c r="CR10" s="1250">
        <v>260.5</v>
      </c>
      <c r="CS10" s="1250">
        <v>253.4</v>
      </c>
      <c r="CT10" s="1250">
        <v>286.8</v>
      </c>
      <c r="CU10" s="1250">
        <v>297.60000000000002</v>
      </c>
      <c r="CV10" s="1250">
        <v>281.89999999999998</v>
      </c>
      <c r="CW10" s="1250">
        <v>232.8</v>
      </c>
      <c r="CX10" s="1250">
        <v>236.9</v>
      </c>
      <c r="CY10" s="1250">
        <v>275.3</v>
      </c>
      <c r="CZ10" s="1250">
        <v>257.7</v>
      </c>
      <c r="DA10" s="1250">
        <v>276</v>
      </c>
      <c r="DB10" s="1250">
        <v>251.2</v>
      </c>
      <c r="DC10" s="1250">
        <v>256.2</v>
      </c>
      <c r="DD10" s="1250">
        <v>255.6</v>
      </c>
      <c r="DE10" s="1250">
        <v>247.6</v>
      </c>
      <c r="DF10" s="1250">
        <v>250.2</v>
      </c>
      <c r="DG10" s="1250">
        <v>289.7</v>
      </c>
      <c r="DH10" s="1250">
        <v>261.8</v>
      </c>
      <c r="DI10" s="1250">
        <v>266.89999999999998</v>
      </c>
      <c r="DJ10" s="1250">
        <v>264.7</v>
      </c>
      <c r="DK10" s="1250">
        <v>309.3</v>
      </c>
      <c r="DL10" s="1250">
        <v>308.39999999999998</v>
      </c>
      <c r="DM10" s="1250">
        <v>316</v>
      </c>
      <c r="DN10" s="1250">
        <v>310.3</v>
      </c>
      <c r="DO10" s="1250">
        <v>311.8</v>
      </c>
      <c r="DP10" s="1250">
        <v>241.4</v>
      </c>
      <c r="DQ10" s="1250">
        <v>283.10000000000002</v>
      </c>
      <c r="DR10" s="1250">
        <v>271.10000000000002</v>
      </c>
      <c r="DS10" s="1250">
        <v>289</v>
      </c>
      <c r="DT10" s="1250">
        <v>351.2</v>
      </c>
      <c r="DU10" s="1250">
        <v>279.10000000000002</v>
      </c>
      <c r="DV10" s="1250">
        <v>282</v>
      </c>
      <c r="DW10" s="1250">
        <v>273.3</v>
      </c>
      <c r="DX10" s="1250">
        <v>271.10000000000002</v>
      </c>
      <c r="DY10" s="1250">
        <v>320.5</v>
      </c>
      <c r="DZ10" s="1250">
        <v>242.1</v>
      </c>
      <c r="EA10" s="1250">
        <v>241.7</v>
      </c>
      <c r="EB10" s="1250">
        <v>238.1</v>
      </c>
      <c r="EC10" s="1250">
        <v>236.8</v>
      </c>
      <c r="ED10" s="1250">
        <v>237.5</v>
      </c>
      <c r="EE10" s="1250">
        <v>249.7</v>
      </c>
      <c r="EF10" s="1250">
        <v>256.7</v>
      </c>
      <c r="EG10" s="1250">
        <v>248.9</v>
      </c>
      <c r="EH10" s="1250">
        <v>249.1</v>
      </c>
      <c r="EI10" s="1250">
        <v>263.8</v>
      </c>
      <c r="EJ10" s="1250">
        <v>254.6</v>
      </c>
      <c r="EK10" s="1250">
        <v>242.3</v>
      </c>
      <c r="EL10" s="1250">
        <v>250.9</v>
      </c>
      <c r="EM10" s="1250">
        <v>243.7</v>
      </c>
      <c r="EN10" s="1250">
        <v>259.3</v>
      </c>
      <c r="EO10" s="1250">
        <v>251.3</v>
      </c>
      <c r="EP10" s="1250">
        <v>236.4</v>
      </c>
      <c r="EQ10" s="1250">
        <v>237.4</v>
      </c>
      <c r="ER10" s="1250">
        <v>230.8</v>
      </c>
      <c r="ES10" s="1250">
        <v>284.5</v>
      </c>
      <c r="ET10" s="1250">
        <v>288.5</v>
      </c>
      <c r="EU10" s="1250">
        <v>276.60000000000002</v>
      </c>
      <c r="EV10" s="1250">
        <v>259.10000000000002</v>
      </c>
      <c r="EW10" s="1250">
        <v>271.2</v>
      </c>
      <c r="EX10" s="1250">
        <v>316</v>
      </c>
      <c r="EY10" s="1250">
        <v>279.39999999999998</v>
      </c>
      <c r="EZ10" s="1250">
        <v>271.8</v>
      </c>
      <c r="FA10" s="1250">
        <v>267.39999999999998</v>
      </c>
      <c r="FB10" s="1250">
        <v>290.3</v>
      </c>
      <c r="FC10" s="1087">
        <v>241.8</v>
      </c>
      <c r="FD10" s="1250">
        <v>238.7</v>
      </c>
      <c r="FE10" s="1250">
        <v>239.1</v>
      </c>
      <c r="FF10" s="1250">
        <v>253.2</v>
      </c>
      <c r="FG10" s="1250">
        <v>237.9</v>
      </c>
      <c r="FH10" s="1250">
        <v>233.2</v>
      </c>
      <c r="FI10" s="1250">
        <v>244.1</v>
      </c>
      <c r="FJ10" s="1250">
        <v>247.8</v>
      </c>
      <c r="FK10" s="1250">
        <v>230.5</v>
      </c>
      <c r="FL10" s="1250">
        <v>232.5</v>
      </c>
      <c r="FM10" s="1250">
        <v>231.2</v>
      </c>
      <c r="FN10" s="1250">
        <v>230.9</v>
      </c>
      <c r="FO10" s="1250">
        <v>232.3</v>
      </c>
      <c r="FP10" s="1250">
        <v>242.3</v>
      </c>
      <c r="FQ10" s="1250">
        <v>234.5</v>
      </c>
      <c r="FR10" s="1250">
        <v>234.4</v>
      </c>
      <c r="FS10" s="1250">
        <v>238.7</v>
      </c>
      <c r="FT10" s="1250">
        <v>234.4</v>
      </c>
      <c r="FU10" s="1250">
        <v>231.6</v>
      </c>
      <c r="FV10" s="1250">
        <v>233.4</v>
      </c>
      <c r="FW10" s="1250">
        <v>228.8</v>
      </c>
      <c r="FX10" s="1250">
        <v>227.7</v>
      </c>
      <c r="FY10" s="1250">
        <v>243.8</v>
      </c>
      <c r="FZ10" s="1250">
        <v>251.2</v>
      </c>
      <c r="GA10" s="1250">
        <v>257.2</v>
      </c>
      <c r="GB10" s="1250">
        <v>251.4</v>
      </c>
      <c r="GC10" s="1250">
        <v>256.2</v>
      </c>
      <c r="GD10" s="1250">
        <v>239.3</v>
      </c>
      <c r="GE10" s="1250">
        <v>242.6</v>
      </c>
      <c r="GF10" s="1251">
        <f t="shared" ref="GF10:GF34" si="2">(GD10+GH10)/2</f>
        <v>240.5</v>
      </c>
      <c r="GG10" s="1251">
        <f t="shared" si="1"/>
        <v>248.95</v>
      </c>
      <c r="GH10" s="1252">
        <v>241.7</v>
      </c>
      <c r="GI10" s="1250">
        <v>241.3</v>
      </c>
      <c r="GJ10" s="1250">
        <v>295.10000000000002</v>
      </c>
      <c r="GK10" s="1250">
        <v>259.89999999999998</v>
      </c>
      <c r="GL10" s="1250">
        <v>288.2</v>
      </c>
      <c r="GM10" s="1250">
        <v>259.5</v>
      </c>
      <c r="GN10" s="1250" t="s">
        <v>1181</v>
      </c>
      <c r="GO10" s="1250">
        <v>274.7</v>
      </c>
      <c r="GP10" s="1250">
        <v>276.3</v>
      </c>
      <c r="GQ10" s="1250">
        <v>276.7</v>
      </c>
      <c r="GR10" s="1250">
        <v>279.7</v>
      </c>
      <c r="GS10" s="1250">
        <v>274.89999999999998</v>
      </c>
      <c r="GT10" s="1250">
        <v>245.3</v>
      </c>
      <c r="GU10" s="1250">
        <v>319.5</v>
      </c>
      <c r="GV10" s="1250">
        <v>321.60000000000002</v>
      </c>
      <c r="GW10" s="1250">
        <v>305.8</v>
      </c>
      <c r="GX10" s="1250">
        <v>304.39999999999998</v>
      </c>
      <c r="GY10" s="1250">
        <v>299.39999999999998</v>
      </c>
      <c r="GZ10" s="1250">
        <v>293.2</v>
      </c>
      <c r="HA10" s="1250">
        <v>299.7</v>
      </c>
      <c r="HB10" s="1250">
        <v>314.60000000000002</v>
      </c>
      <c r="HC10" s="1250">
        <v>306</v>
      </c>
      <c r="HD10" s="1250">
        <v>287.5</v>
      </c>
      <c r="HE10" s="759"/>
      <c r="HF10" s="759">
        <f t="shared" si="0"/>
        <v>353.9</v>
      </c>
    </row>
    <row r="11" spans="1:214" ht="22.15" customHeight="1">
      <c r="A11" s="1249">
        <v>2021</v>
      </c>
      <c r="B11" s="1249">
        <v>204.8</v>
      </c>
      <c r="C11" s="1249">
        <v>202.8</v>
      </c>
      <c r="D11" s="1249">
        <v>202</v>
      </c>
      <c r="E11" s="1249">
        <v>205.5</v>
      </c>
      <c r="F11" s="1249">
        <v>202.6</v>
      </c>
      <c r="G11" s="1249">
        <v>272.2</v>
      </c>
      <c r="H11" s="1249">
        <v>208.2</v>
      </c>
      <c r="I11" s="1249">
        <v>203.9</v>
      </c>
      <c r="J11" s="1249">
        <v>191.8</v>
      </c>
      <c r="K11" s="1249">
        <v>193.6</v>
      </c>
      <c r="L11" s="1249">
        <v>263</v>
      </c>
      <c r="M11" s="1249">
        <v>261</v>
      </c>
      <c r="N11" s="1249">
        <v>265.89999999999998</v>
      </c>
      <c r="O11" s="1249">
        <v>267.3</v>
      </c>
      <c r="P11" s="1249">
        <v>261.10000000000002</v>
      </c>
      <c r="Q11" s="1249">
        <v>262.89999999999998</v>
      </c>
      <c r="R11" s="1249">
        <v>272.7</v>
      </c>
      <c r="S11" s="1249">
        <v>261.89999999999998</v>
      </c>
      <c r="T11" s="1249">
        <v>311.7</v>
      </c>
      <c r="U11" s="1249">
        <v>259.3</v>
      </c>
      <c r="V11" s="1249">
        <v>271.60000000000002</v>
      </c>
      <c r="W11" s="1249">
        <v>282.5</v>
      </c>
      <c r="X11" s="1249">
        <v>210.4</v>
      </c>
      <c r="Y11" s="1249">
        <v>218.2</v>
      </c>
      <c r="Z11" s="1249">
        <v>208.1</v>
      </c>
      <c r="AA11" s="1249">
        <v>253.7</v>
      </c>
      <c r="AB11" s="1249">
        <v>252.8</v>
      </c>
      <c r="AC11" s="1249">
        <v>256.60000000000002</v>
      </c>
      <c r="AD11" s="1249">
        <v>252.2</v>
      </c>
      <c r="AE11" s="1249">
        <v>254.8</v>
      </c>
      <c r="AF11" s="1249">
        <v>253.1</v>
      </c>
      <c r="AG11" s="1249">
        <v>260.5</v>
      </c>
      <c r="AH11" s="1249">
        <v>253.6</v>
      </c>
      <c r="AI11" s="1249">
        <v>245.4</v>
      </c>
      <c r="AJ11" s="1249">
        <v>227.7</v>
      </c>
      <c r="AK11" s="1249">
        <v>202.9</v>
      </c>
      <c r="AL11" s="1249">
        <v>199</v>
      </c>
      <c r="AM11" s="1249">
        <v>200.6</v>
      </c>
      <c r="AN11" s="1249">
        <v>198.9</v>
      </c>
      <c r="AO11" s="1249">
        <v>200.2</v>
      </c>
      <c r="AP11" s="1249">
        <v>200</v>
      </c>
      <c r="AQ11" s="1249">
        <v>203.1</v>
      </c>
      <c r="AR11" s="1249">
        <v>211.6</v>
      </c>
      <c r="AS11" s="1249">
        <v>204.2</v>
      </c>
      <c r="AT11" s="1249">
        <v>203.6</v>
      </c>
      <c r="AU11" s="1249">
        <v>205.1</v>
      </c>
      <c r="AV11" s="1249">
        <v>280.39999999999998</v>
      </c>
      <c r="AW11" s="1249">
        <v>216.8</v>
      </c>
      <c r="AX11" s="1249">
        <v>216.2</v>
      </c>
      <c r="AY11" s="1249">
        <v>286.39999999999998</v>
      </c>
      <c r="AZ11" s="1249">
        <v>241.6</v>
      </c>
      <c r="BA11" s="1249">
        <v>282.3</v>
      </c>
      <c r="BB11" s="1249">
        <v>245.2</v>
      </c>
      <c r="BC11" s="1249">
        <v>264.5</v>
      </c>
      <c r="BD11" s="1249">
        <v>243.7</v>
      </c>
      <c r="BE11" s="1249">
        <v>211.7</v>
      </c>
      <c r="BF11" s="1249">
        <v>213.4</v>
      </c>
      <c r="BG11" s="1249">
        <v>208</v>
      </c>
      <c r="BH11" s="1249">
        <v>239.5</v>
      </c>
      <c r="BI11" s="1249">
        <v>220.3</v>
      </c>
      <c r="BJ11" s="1249">
        <v>209.9</v>
      </c>
      <c r="BK11" s="1249">
        <v>218.4</v>
      </c>
      <c r="BL11" s="1249">
        <v>214.2</v>
      </c>
      <c r="BM11" s="1249">
        <v>219.6</v>
      </c>
      <c r="BN11" s="1249">
        <v>228.4</v>
      </c>
      <c r="BO11" s="1249">
        <v>221.9</v>
      </c>
      <c r="BP11" s="1249">
        <v>212.8</v>
      </c>
      <c r="BQ11" s="1249">
        <v>209.1</v>
      </c>
      <c r="BR11" s="1249">
        <v>210.8</v>
      </c>
      <c r="BS11" s="1249">
        <v>202.9</v>
      </c>
      <c r="BT11" s="1249">
        <v>206.5</v>
      </c>
      <c r="BU11" s="1249">
        <v>208.3</v>
      </c>
      <c r="BV11" s="1249">
        <v>199.1</v>
      </c>
      <c r="BW11" s="1249">
        <v>197</v>
      </c>
      <c r="BX11" s="1249">
        <v>202.4</v>
      </c>
      <c r="BY11" s="1249">
        <v>198.8</v>
      </c>
      <c r="BZ11" s="1249">
        <v>220</v>
      </c>
      <c r="CA11" s="1249">
        <v>225.8</v>
      </c>
      <c r="CB11" s="1249">
        <v>223.8</v>
      </c>
      <c r="CC11" s="1249">
        <v>271.89999999999998</v>
      </c>
      <c r="CD11" s="1249">
        <v>252.3</v>
      </c>
      <c r="CE11" s="1249">
        <v>250</v>
      </c>
      <c r="CF11" s="1249">
        <v>260</v>
      </c>
      <c r="CG11" s="1249">
        <v>260.3</v>
      </c>
      <c r="CH11" s="1249">
        <v>249.8</v>
      </c>
      <c r="CI11" s="1249">
        <v>238.8</v>
      </c>
      <c r="CJ11" s="1249">
        <v>245.3</v>
      </c>
      <c r="CK11" s="1249">
        <v>253.2</v>
      </c>
      <c r="CL11" s="1249">
        <v>232.8</v>
      </c>
      <c r="CM11" s="1249">
        <v>236.7</v>
      </c>
      <c r="CN11" s="1249">
        <v>239</v>
      </c>
      <c r="CO11" s="1249">
        <v>222.4</v>
      </c>
      <c r="CP11" s="1249">
        <v>216.3</v>
      </c>
      <c r="CQ11" s="1249">
        <v>212.4</v>
      </c>
      <c r="CR11" s="1249">
        <v>224.6</v>
      </c>
      <c r="CS11" s="1249">
        <v>218</v>
      </c>
      <c r="CT11" s="1249">
        <v>242.5</v>
      </c>
      <c r="CU11" s="1249">
        <v>256.8</v>
      </c>
      <c r="CV11" s="1249">
        <v>240.5</v>
      </c>
      <c r="CW11" s="1249">
        <v>197.7</v>
      </c>
      <c r="CX11" s="1249">
        <v>200.9</v>
      </c>
      <c r="CY11" s="1249">
        <v>236.9</v>
      </c>
      <c r="CZ11" s="1249">
        <v>223.7</v>
      </c>
      <c r="DA11" s="1249">
        <v>241</v>
      </c>
      <c r="DB11" s="1249">
        <v>212.4</v>
      </c>
      <c r="DC11" s="1249">
        <v>214.4</v>
      </c>
      <c r="DD11" s="1249">
        <v>216.3</v>
      </c>
      <c r="DE11" s="1249">
        <v>214.8</v>
      </c>
      <c r="DF11" s="1249">
        <v>216.7</v>
      </c>
      <c r="DG11" s="1249">
        <v>248.6</v>
      </c>
      <c r="DH11" s="1249">
        <v>224.9</v>
      </c>
      <c r="DI11" s="1249">
        <v>229.1</v>
      </c>
      <c r="DJ11" s="1249">
        <v>226.7</v>
      </c>
      <c r="DK11" s="1249">
        <v>271.7</v>
      </c>
      <c r="DL11" s="1249">
        <v>272</v>
      </c>
      <c r="DM11" s="1249">
        <v>278.39999999999998</v>
      </c>
      <c r="DN11" s="1249">
        <v>274.7</v>
      </c>
      <c r="DO11" s="1249">
        <v>273.10000000000002</v>
      </c>
      <c r="DP11" s="1249">
        <v>205</v>
      </c>
      <c r="DQ11" s="1249">
        <v>245</v>
      </c>
      <c r="DR11" s="1249">
        <v>235</v>
      </c>
      <c r="DS11" s="1249">
        <v>248.1</v>
      </c>
      <c r="DT11" s="1249">
        <v>313</v>
      </c>
      <c r="DU11" s="1249">
        <v>238.9</v>
      </c>
      <c r="DV11" s="1249">
        <v>243.7</v>
      </c>
      <c r="DW11" s="1249">
        <v>236.2</v>
      </c>
      <c r="DX11" s="1249">
        <v>234.4</v>
      </c>
      <c r="DY11" s="1249">
        <v>286.2</v>
      </c>
      <c r="DZ11" s="1249">
        <v>204.8</v>
      </c>
      <c r="EA11" s="1249">
        <v>203.9</v>
      </c>
      <c r="EB11" s="1249">
        <v>201.9</v>
      </c>
      <c r="EC11" s="1249">
        <v>200.9</v>
      </c>
      <c r="ED11" s="1249">
        <v>201.6</v>
      </c>
      <c r="EE11" s="1249">
        <v>213.4</v>
      </c>
      <c r="EF11" s="1249">
        <v>223.2</v>
      </c>
      <c r="EG11" s="1249">
        <v>216.6</v>
      </c>
      <c r="EH11" s="1249">
        <v>214.4</v>
      </c>
      <c r="EI11" s="1249">
        <v>227.9</v>
      </c>
      <c r="EJ11" s="1249">
        <v>221.3</v>
      </c>
      <c r="EK11" s="1249">
        <v>211.2</v>
      </c>
      <c r="EL11" s="1249">
        <v>218.5</v>
      </c>
      <c r="EM11" s="1249">
        <v>212.5</v>
      </c>
      <c r="EN11" s="1249">
        <v>226.6</v>
      </c>
      <c r="EO11" s="1249">
        <v>219.3</v>
      </c>
      <c r="EP11" s="1249">
        <v>200.4</v>
      </c>
      <c r="EQ11" s="1249">
        <v>201.4</v>
      </c>
      <c r="ER11" s="1249">
        <v>197.4</v>
      </c>
      <c r="ES11" s="1249">
        <v>241.5</v>
      </c>
      <c r="ET11" s="1249">
        <v>243.1</v>
      </c>
      <c r="EU11" s="1249">
        <v>242.9</v>
      </c>
      <c r="EV11" s="1249">
        <v>225.1</v>
      </c>
      <c r="EW11" s="1249">
        <v>230.6</v>
      </c>
      <c r="EX11" s="1249">
        <v>275.3</v>
      </c>
      <c r="EY11" s="1249">
        <v>239.3</v>
      </c>
      <c r="EZ11" s="1249">
        <v>236.7</v>
      </c>
      <c r="FA11" s="1249">
        <v>232.6</v>
      </c>
      <c r="FB11" s="1249">
        <v>250.7</v>
      </c>
      <c r="FC11" s="1249">
        <v>201.3</v>
      </c>
      <c r="FD11" s="1249">
        <v>200.4</v>
      </c>
      <c r="FE11" s="1249">
        <v>204</v>
      </c>
      <c r="FF11" s="1249">
        <v>215.9</v>
      </c>
      <c r="FG11" s="1249">
        <v>202.8</v>
      </c>
      <c r="FH11" s="1249">
        <v>195.5</v>
      </c>
      <c r="FI11" s="1249">
        <v>205.2</v>
      </c>
      <c r="FJ11" s="1249">
        <v>210.8</v>
      </c>
      <c r="FK11" s="1249">
        <v>195.4</v>
      </c>
      <c r="FL11" s="1249">
        <v>196.7</v>
      </c>
      <c r="FM11" s="1249">
        <v>195.7</v>
      </c>
      <c r="FN11" s="1249">
        <v>198.7</v>
      </c>
      <c r="FO11" s="1249">
        <v>200.1</v>
      </c>
      <c r="FP11" s="1249">
        <v>203.2</v>
      </c>
      <c r="FQ11" s="1249">
        <v>196.2</v>
      </c>
      <c r="FR11" s="1249">
        <v>197.6</v>
      </c>
      <c r="FS11" s="1249">
        <v>204.8</v>
      </c>
      <c r="FT11" s="1249">
        <v>196.3</v>
      </c>
      <c r="FU11" s="1249">
        <v>194.4</v>
      </c>
      <c r="FV11" s="1249">
        <v>199.5</v>
      </c>
      <c r="FW11" s="1249">
        <v>192.6</v>
      </c>
      <c r="FX11" s="1249">
        <v>192.8</v>
      </c>
      <c r="FY11" s="1249">
        <v>207.3</v>
      </c>
      <c r="FZ11" s="1249">
        <v>213.2</v>
      </c>
      <c r="GA11" s="1249">
        <v>221.3</v>
      </c>
      <c r="GB11" s="1249">
        <v>215.8</v>
      </c>
      <c r="GC11" s="1249">
        <v>220.5</v>
      </c>
      <c r="GD11" s="1249">
        <v>203.7</v>
      </c>
      <c r="GE11" s="1249">
        <v>204.5</v>
      </c>
      <c r="GF11" s="1251">
        <f t="shared" si="2"/>
        <v>206.45</v>
      </c>
      <c r="GG11" s="1251">
        <f t="shared" si="1"/>
        <v>214.85</v>
      </c>
      <c r="GH11" s="1252">
        <v>209.2</v>
      </c>
      <c r="GI11" s="1249">
        <v>205</v>
      </c>
      <c r="GJ11" s="1249">
        <v>256.39999999999998</v>
      </c>
      <c r="GK11" s="1249">
        <v>225</v>
      </c>
      <c r="GL11" s="1249">
        <v>249.6</v>
      </c>
      <c r="GM11" s="1249">
        <v>222.7</v>
      </c>
      <c r="GN11" s="1249">
        <v>224.6</v>
      </c>
      <c r="GO11" s="1249">
        <v>237.9</v>
      </c>
      <c r="GP11" s="1249">
        <v>241.1</v>
      </c>
      <c r="GQ11" s="1249">
        <v>240.3</v>
      </c>
      <c r="GR11" s="1249">
        <v>244.5</v>
      </c>
      <c r="GS11" s="1249">
        <v>240.1</v>
      </c>
      <c r="GT11" s="1249">
        <v>209.4</v>
      </c>
      <c r="GU11" s="1249">
        <v>257.89999999999998</v>
      </c>
      <c r="GV11" s="1249">
        <v>260.8</v>
      </c>
      <c r="GW11" s="1249">
        <v>255.1</v>
      </c>
      <c r="GX11" s="1249">
        <v>253.8</v>
      </c>
      <c r="GY11" s="1249">
        <v>254.8</v>
      </c>
      <c r="GZ11" s="1249">
        <v>255.6</v>
      </c>
      <c r="HA11" s="1249">
        <v>255.4</v>
      </c>
      <c r="HB11" s="1249">
        <v>260.89999999999998</v>
      </c>
      <c r="HC11" s="1249">
        <v>256.60000000000002</v>
      </c>
      <c r="HD11" s="1253">
        <v>237.7</v>
      </c>
      <c r="HE11" s="759"/>
      <c r="HF11" s="759">
        <f t="shared" si="0"/>
        <v>313</v>
      </c>
    </row>
    <row r="12" spans="1:214" ht="22.15" customHeight="1">
      <c r="A12" s="1249">
        <v>2020</v>
      </c>
      <c r="B12" s="1249">
        <v>201.7</v>
      </c>
      <c r="C12" s="1249">
        <v>201.1</v>
      </c>
      <c r="D12" s="1249">
        <v>200.1</v>
      </c>
      <c r="E12" s="1249">
        <v>202.5</v>
      </c>
      <c r="F12" s="1249">
        <v>200.2</v>
      </c>
      <c r="G12" s="1249">
        <v>272.3</v>
      </c>
      <c r="H12" s="1249">
        <v>205.3</v>
      </c>
      <c r="I12" s="1249">
        <v>200.3</v>
      </c>
      <c r="J12" s="1249">
        <v>187.6</v>
      </c>
      <c r="K12" s="1249">
        <v>191.5</v>
      </c>
      <c r="L12" s="1249">
        <v>260.3</v>
      </c>
      <c r="M12" s="1249">
        <v>256.89999999999998</v>
      </c>
      <c r="N12" s="1249">
        <v>263.10000000000002</v>
      </c>
      <c r="O12" s="1249">
        <v>262.89999999999998</v>
      </c>
      <c r="P12" s="1249">
        <v>258.60000000000002</v>
      </c>
      <c r="Q12" s="1249">
        <v>260.2</v>
      </c>
      <c r="R12" s="1249">
        <v>269.5</v>
      </c>
      <c r="S12" s="1249">
        <v>256.89999999999998</v>
      </c>
      <c r="T12" s="1249">
        <v>305.7</v>
      </c>
      <c r="U12" s="1249">
        <v>257.60000000000002</v>
      </c>
      <c r="V12" s="1249">
        <v>267.8</v>
      </c>
      <c r="W12" s="1249">
        <v>276</v>
      </c>
      <c r="X12" s="1249">
        <v>208</v>
      </c>
      <c r="Y12" s="1249">
        <v>213.5</v>
      </c>
      <c r="Z12" s="1249">
        <v>206.3</v>
      </c>
      <c r="AA12" s="1249">
        <v>249.9</v>
      </c>
      <c r="AB12" s="1249">
        <v>248</v>
      </c>
      <c r="AC12" s="1249">
        <v>250.9</v>
      </c>
      <c r="AD12" s="1249">
        <v>247.4</v>
      </c>
      <c r="AE12" s="1249">
        <v>250.2</v>
      </c>
      <c r="AF12" s="1249">
        <v>249.4</v>
      </c>
      <c r="AG12" s="1249">
        <v>255.9</v>
      </c>
      <c r="AH12" s="1249">
        <v>249.1</v>
      </c>
      <c r="AI12" s="1249">
        <v>239.4</v>
      </c>
      <c r="AJ12" s="1249">
        <v>223.8</v>
      </c>
      <c r="AK12" s="1249">
        <v>195.3</v>
      </c>
      <c r="AL12" s="1249">
        <v>197.6</v>
      </c>
      <c r="AM12" s="1249">
        <v>199.2</v>
      </c>
      <c r="AN12" s="1249">
        <v>197</v>
      </c>
      <c r="AO12" s="1249">
        <v>197.6</v>
      </c>
      <c r="AP12" s="1249">
        <v>199.2</v>
      </c>
      <c r="AQ12" s="1249">
        <v>200.5</v>
      </c>
      <c r="AR12" s="1249">
        <v>205.6</v>
      </c>
      <c r="AS12" s="1249">
        <v>201.8</v>
      </c>
      <c r="AT12" s="1249">
        <v>200.1</v>
      </c>
      <c r="AU12" s="1249">
        <v>203.2</v>
      </c>
      <c r="AV12" s="1249">
        <v>278.39999999999998</v>
      </c>
      <c r="AW12" s="1249">
        <v>215.4</v>
      </c>
      <c r="AX12" s="1249">
        <v>214.5</v>
      </c>
      <c r="AY12" s="1249">
        <v>282.7</v>
      </c>
      <c r="AZ12" s="1249">
        <v>238.5</v>
      </c>
      <c r="BA12" s="1249">
        <v>269.10000000000002</v>
      </c>
      <c r="BB12" s="1249">
        <v>237.9</v>
      </c>
      <c r="BC12" s="1249">
        <v>253</v>
      </c>
      <c r="BD12" s="1249">
        <v>242.2</v>
      </c>
      <c r="BE12" s="1249">
        <v>208.9</v>
      </c>
      <c r="BF12" s="1249">
        <v>210.6</v>
      </c>
      <c r="BG12" s="1249">
        <v>206.3</v>
      </c>
      <c r="BH12" s="1249">
        <v>238.6</v>
      </c>
      <c r="BI12" s="1249">
        <v>217.7</v>
      </c>
      <c r="BJ12" s="1249">
        <v>207.2</v>
      </c>
      <c r="BK12" s="1249">
        <v>214.5</v>
      </c>
      <c r="BL12" s="1249">
        <v>210.7</v>
      </c>
      <c r="BM12" s="1249">
        <v>217.6</v>
      </c>
      <c r="BN12" s="1249">
        <v>227.3</v>
      </c>
      <c r="BO12" s="1249">
        <v>218.8</v>
      </c>
      <c r="BP12" s="1249">
        <v>211.5</v>
      </c>
      <c r="BQ12" s="1249">
        <v>205.2</v>
      </c>
      <c r="BR12" s="1249">
        <v>207.2</v>
      </c>
      <c r="BS12" s="1249">
        <v>202.8</v>
      </c>
      <c r="BT12" s="1249">
        <v>203.1</v>
      </c>
      <c r="BU12" s="1249">
        <v>206</v>
      </c>
      <c r="BV12" s="1249">
        <v>197.9</v>
      </c>
      <c r="BW12" s="1249">
        <v>196</v>
      </c>
      <c r="BX12" s="1249">
        <v>200.9</v>
      </c>
      <c r="BY12" s="1249">
        <v>196</v>
      </c>
      <c r="BZ12" s="1249">
        <v>217.8</v>
      </c>
      <c r="CA12" s="1249">
        <v>221.4</v>
      </c>
      <c r="CB12" s="1249">
        <v>220.8</v>
      </c>
      <c r="CC12" s="1249">
        <v>266</v>
      </c>
      <c r="CD12" s="1249">
        <v>248.6</v>
      </c>
      <c r="CE12" s="1249">
        <v>247.2</v>
      </c>
      <c r="CF12" s="1249">
        <v>256.60000000000002</v>
      </c>
      <c r="CG12" s="1249">
        <v>254.8</v>
      </c>
      <c r="CH12" s="1249">
        <v>246</v>
      </c>
      <c r="CI12" s="1249">
        <v>232.7</v>
      </c>
      <c r="CJ12" s="1249">
        <v>239.3</v>
      </c>
      <c r="CK12" s="1249">
        <v>248</v>
      </c>
      <c r="CL12" s="1249">
        <v>228.1</v>
      </c>
      <c r="CM12" s="1249">
        <v>228.9</v>
      </c>
      <c r="CN12" s="1249">
        <v>234.7</v>
      </c>
      <c r="CO12" s="1249">
        <v>216.6</v>
      </c>
      <c r="CP12" s="1249">
        <v>211.7</v>
      </c>
      <c r="CQ12" s="1249">
        <v>207.1</v>
      </c>
      <c r="CR12" s="1249">
        <v>217.1</v>
      </c>
      <c r="CS12" s="1249">
        <v>212.8</v>
      </c>
      <c r="CT12" s="1249">
        <v>238.5</v>
      </c>
      <c r="CU12" s="1249">
        <v>252.1</v>
      </c>
      <c r="CV12" s="1249">
        <v>234.8</v>
      </c>
      <c r="CW12" s="1249">
        <v>193.9</v>
      </c>
      <c r="CX12" s="1249">
        <v>197.1</v>
      </c>
      <c r="CY12" s="1249">
        <v>233.7</v>
      </c>
      <c r="CZ12" s="1249">
        <v>218.8</v>
      </c>
      <c r="DA12" s="1249">
        <v>234.4</v>
      </c>
      <c r="DB12" s="1249">
        <v>208.3</v>
      </c>
      <c r="DC12" s="1249">
        <v>214.4</v>
      </c>
      <c r="DD12" s="1249">
        <v>213.5</v>
      </c>
      <c r="DE12" s="1249">
        <v>213.2</v>
      </c>
      <c r="DF12" s="1249">
        <v>213.8</v>
      </c>
      <c r="DG12" s="1249">
        <v>245.4</v>
      </c>
      <c r="DH12" s="1249">
        <v>225.5</v>
      </c>
      <c r="DI12" s="1249">
        <v>226.8</v>
      </c>
      <c r="DJ12" s="1249">
        <v>224.8</v>
      </c>
      <c r="DK12" s="1249">
        <v>268.3</v>
      </c>
      <c r="DL12" s="1249">
        <v>265.89999999999998</v>
      </c>
      <c r="DM12" s="1249">
        <v>273</v>
      </c>
      <c r="DN12" s="1249">
        <v>269.10000000000002</v>
      </c>
      <c r="DO12" s="1249">
        <v>262.2</v>
      </c>
      <c r="DP12" s="1249">
        <v>204.9</v>
      </c>
      <c r="DQ12" s="1249">
        <v>239.9</v>
      </c>
      <c r="DR12" s="1249">
        <v>232</v>
      </c>
      <c r="DS12" s="1249">
        <v>245.1</v>
      </c>
      <c r="DT12" s="1249">
        <v>306</v>
      </c>
      <c r="DU12" s="1249">
        <v>237.4</v>
      </c>
      <c r="DV12" s="1249">
        <v>239.6</v>
      </c>
      <c r="DW12" s="1249">
        <v>233.3</v>
      </c>
      <c r="DX12" s="1249">
        <v>231.7</v>
      </c>
      <c r="DY12" s="1249">
        <v>281.2</v>
      </c>
      <c r="DZ12" s="1249">
        <v>203.6</v>
      </c>
      <c r="EA12" s="1249">
        <v>201.3</v>
      </c>
      <c r="EB12" s="1249">
        <v>199.3</v>
      </c>
      <c r="EC12" s="1249">
        <v>198</v>
      </c>
      <c r="ED12" s="1249">
        <v>199</v>
      </c>
      <c r="EE12" s="1249">
        <v>213.1</v>
      </c>
      <c r="EF12" s="1249">
        <v>218.7</v>
      </c>
      <c r="EG12" s="1249">
        <v>212</v>
      </c>
      <c r="EH12" s="1249">
        <v>211.6</v>
      </c>
      <c r="EI12" s="1249">
        <v>225.6</v>
      </c>
      <c r="EJ12" s="1249">
        <v>218.4</v>
      </c>
      <c r="EK12" s="1249">
        <v>208.3</v>
      </c>
      <c r="EL12" s="1249">
        <v>216</v>
      </c>
      <c r="EM12" s="1249">
        <v>208.7</v>
      </c>
      <c r="EN12" s="1249">
        <v>222.7</v>
      </c>
      <c r="EO12" s="1249">
        <v>214.2</v>
      </c>
      <c r="EP12" s="1249">
        <v>195.3</v>
      </c>
      <c r="EQ12" s="1249">
        <v>197.2</v>
      </c>
      <c r="ER12" s="1249">
        <v>193.6</v>
      </c>
      <c r="ES12" s="1249">
        <v>235.2</v>
      </c>
      <c r="ET12" s="1249">
        <v>240.1</v>
      </c>
      <c r="EU12" s="1249">
        <v>240.1</v>
      </c>
      <c r="EV12" s="1249">
        <v>221.9</v>
      </c>
      <c r="EW12" s="1249">
        <v>229.6</v>
      </c>
      <c r="EX12" s="1249">
        <v>268.8</v>
      </c>
      <c r="EY12" s="1249">
        <v>234.6</v>
      </c>
      <c r="EZ12" s="1249">
        <v>236.2</v>
      </c>
      <c r="FA12" s="1249">
        <v>229.7</v>
      </c>
      <c r="FB12" s="1249">
        <v>248.8</v>
      </c>
      <c r="FC12" s="1254">
        <v>200.6</v>
      </c>
      <c r="FD12" s="1249">
        <v>199.9</v>
      </c>
      <c r="FE12" s="1249">
        <v>204</v>
      </c>
      <c r="FF12" s="1249">
        <v>210.3</v>
      </c>
      <c r="FG12" s="1249">
        <v>200.4</v>
      </c>
      <c r="FH12" s="1249">
        <v>191.3</v>
      </c>
      <c r="FI12" s="1249">
        <v>203.3</v>
      </c>
      <c r="FJ12" s="1249">
        <v>209.2</v>
      </c>
      <c r="FK12" s="1249">
        <v>192.6</v>
      </c>
      <c r="FL12" s="1249">
        <v>193.7</v>
      </c>
      <c r="FM12" s="1249">
        <v>191.3</v>
      </c>
      <c r="FN12" s="1249">
        <v>195.8</v>
      </c>
      <c r="FO12" s="1249">
        <v>193.7</v>
      </c>
      <c r="FP12" s="1249">
        <v>199.5</v>
      </c>
      <c r="FQ12" s="1249">
        <v>194.1</v>
      </c>
      <c r="FR12" s="1249">
        <v>194.4</v>
      </c>
      <c r="FS12" s="1249">
        <v>202.2</v>
      </c>
      <c r="FT12" s="1249">
        <v>195.5</v>
      </c>
      <c r="FU12" s="1249">
        <v>193.4</v>
      </c>
      <c r="FV12" s="1249">
        <v>195.5</v>
      </c>
      <c r="FW12" s="1249">
        <v>189.3</v>
      </c>
      <c r="FX12" s="1249">
        <v>190.6</v>
      </c>
      <c r="FY12" s="1249">
        <v>205.6</v>
      </c>
      <c r="FZ12" s="1249">
        <v>211.8</v>
      </c>
      <c r="GA12" s="1249">
        <v>220.1</v>
      </c>
      <c r="GB12" s="1249">
        <v>215.3</v>
      </c>
      <c r="GC12" s="1249">
        <v>217.6</v>
      </c>
      <c r="GD12" s="1249">
        <v>202.3</v>
      </c>
      <c r="GE12" s="1249">
        <v>204.3</v>
      </c>
      <c r="GF12" s="1251">
        <f t="shared" si="2"/>
        <v>205.25</v>
      </c>
      <c r="GG12" s="1251">
        <f t="shared" si="1"/>
        <v>212.89999999999998</v>
      </c>
      <c r="GH12" s="1252">
        <v>208.2</v>
      </c>
      <c r="GI12" s="1249">
        <v>202.9</v>
      </c>
      <c r="GJ12" s="1249">
        <v>252.3</v>
      </c>
      <c r="GK12" s="1249">
        <v>216.5</v>
      </c>
      <c r="GL12" s="1249">
        <v>240.4</v>
      </c>
      <c r="GM12" s="1249">
        <v>221.9</v>
      </c>
      <c r="GN12" s="1249">
        <v>222</v>
      </c>
      <c r="GO12" s="1249">
        <v>232.2</v>
      </c>
      <c r="GP12" s="1249">
        <v>237.7</v>
      </c>
      <c r="GQ12" s="1249">
        <v>233.8</v>
      </c>
      <c r="GR12" s="1249">
        <v>240.5</v>
      </c>
      <c r="GS12" s="1249">
        <v>238.5</v>
      </c>
      <c r="GT12" s="1249">
        <v>207</v>
      </c>
      <c r="GU12" s="1249">
        <v>256</v>
      </c>
      <c r="GV12" s="1249">
        <v>259.39999999999998</v>
      </c>
      <c r="GW12" s="1249">
        <v>254.4</v>
      </c>
      <c r="GX12" s="1249">
        <v>252.2</v>
      </c>
      <c r="GY12" s="1249">
        <v>249.7</v>
      </c>
      <c r="GZ12" s="1249">
        <v>254.1</v>
      </c>
      <c r="HA12" s="1249">
        <v>249.8</v>
      </c>
      <c r="HB12" s="1249">
        <v>259.5</v>
      </c>
      <c r="HC12" s="1249">
        <v>250.9</v>
      </c>
      <c r="HD12" s="1249">
        <v>235.6</v>
      </c>
      <c r="HE12" s="759"/>
      <c r="HF12" s="759">
        <f t="shared" si="0"/>
        <v>306</v>
      </c>
    </row>
    <row r="13" spans="1:214" ht="22.15" customHeight="1">
      <c r="A13" s="1249">
        <v>2019</v>
      </c>
      <c r="B13" s="1250">
        <v>190</v>
      </c>
      <c r="C13" s="1250">
        <v>189.2</v>
      </c>
      <c r="D13" s="1250">
        <v>186.5</v>
      </c>
      <c r="E13" s="1250">
        <v>188.7</v>
      </c>
      <c r="F13" s="1250">
        <v>189.8</v>
      </c>
      <c r="G13" s="1250">
        <v>258.5</v>
      </c>
      <c r="H13" s="1250">
        <v>196.1</v>
      </c>
      <c r="I13" s="1250">
        <v>191.3</v>
      </c>
      <c r="J13" s="1250">
        <v>180.4</v>
      </c>
      <c r="K13" s="1250">
        <v>183.6</v>
      </c>
      <c r="L13" s="1250">
        <v>247.3</v>
      </c>
      <c r="M13" s="1250">
        <v>244.6</v>
      </c>
      <c r="N13" s="1250">
        <v>248.1</v>
      </c>
      <c r="O13" s="1250">
        <v>252.3</v>
      </c>
      <c r="P13" s="1250">
        <v>244.9</v>
      </c>
      <c r="Q13" s="1250">
        <v>246.7</v>
      </c>
      <c r="R13" s="1250">
        <v>253.7</v>
      </c>
      <c r="S13" s="1250">
        <v>245.8</v>
      </c>
      <c r="T13" s="1250">
        <v>286.7</v>
      </c>
      <c r="U13" s="1250">
        <v>243.9</v>
      </c>
      <c r="V13" s="1250">
        <v>252</v>
      </c>
      <c r="W13" s="1250">
        <v>259.7</v>
      </c>
      <c r="X13" s="1250">
        <v>197.1</v>
      </c>
      <c r="Y13" s="1250">
        <v>201.4</v>
      </c>
      <c r="Z13" s="1250">
        <v>196.7</v>
      </c>
      <c r="AA13" s="1250">
        <v>237</v>
      </c>
      <c r="AB13" s="1250">
        <v>236.5</v>
      </c>
      <c r="AC13" s="1250">
        <v>237.4</v>
      </c>
      <c r="AD13" s="1250">
        <v>236</v>
      </c>
      <c r="AE13" s="1250">
        <v>238.3</v>
      </c>
      <c r="AF13" s="1250">
        <v>236.7</v>
      </c>
      <c r="AG13" s="1250">
        <v>243.3</v>
      </c>
      <c r="AH13" s="1250">
        <v>237.1</v>
      </c>
      <c r="AI13" s="1250">
        <v>229.9</v>
      </c>
      <c r="AJ13" s="1250">
        <v>211.2</v>
      </c>
      <c r="AK13" s="1250">
        <v>182.8</v>
      </c>
      <c r="AL13" s="1250">
        <v>182.6</v>
      </c>
      <c r="AM13" s="1250">
        <v>183.6</v>
      </c>
      <c r="AN13" s="1250">
        <v>186</v>
      </c>
      <c r="AO13" s="1250">
        <v>184.5</v>
      </c>
      <c r="AP13" s="1250">
        <v>186.2</v>
      </c>
      <c r="AQ13" s="1250">
        <v>190.2</v>
      </c>
      <c r="AR13" s="1250">
        <v>196</v>
      </c>
      <c r="AS13" s="1250">
        <v>190.5</v>
      </c>
      <c r="AT13" s="1250">
        <v>190.3</v>
      </c>
      <c r="AU13" s="1250">
        <v>191.7</v>
      </c>
      <c r="AV13" s="1250">
        <v>266.89999999999998</v>
      </c>
      <c r="AW13" s="1250">
        <v>203.9</v>
      </c>
      <c r="AX13" s="1250">
        <v>204.5</v>
      </c>
      <c r="AY13" s="1250">
        <v>266.10000000000002</v>
      </c>
      <c r="AZ13" s="1250">
        <v>226.3</v>
      </c>
      <c r="BA13" s="1250">
        <v>262.3</v>
      </c>
      <c r="BB13" s="1250">
        <v>232.2</v>
      </c>
      <c r="BC13" s="1250">
        <v>247.7</v>
      </c>
      <c r="BD13" s="1250">
        <v>227.9</v>
      </c>
      <c r="BE13" s="1250">
        <v>199.8</v>
      </c>
      <c r="BF13" s="1250">
        <v>202.4</v>
      </c>
      <c r="BG13" s="1250">
        <v>196.8</v>
      </c>
      <c r="BH13" s="1250">
        <v>227.3</v>
      </c>
      <c r="BI13" s="1250">
        <v>203.6</v>
      </c>
      <c r="BJ13" s="1250">
        <v>198.9</v>
      </c>
      <c r="BK13" s="1250">
        <v>203.6</v>
      </c>
      <c r="BL13" s="1250">
        <v>202.4</v>
      </c>
      <c r="BM13" s="1250">
        <v>206.9</v>
      </c>
      <c r="BN13" s="1250">
        <v>216.6</v>
      </c>
      <c r="BO13" s="1250">
        <v>205.7</v>
      </c>
      <c r="BP13" s="1250">
        <v>199.6</v>
      </c>
      <c r="BQ13" s="1250">
        <v>198.8</v>
      </c>
      <c r="BR13" s="1250">
        <v>198.7</v>
      </c>
      <c r="BS13" s="1250">
        <v>192.6</v>
      </c>
      <c r="BT13" s="1250">
        <v>195.3</v>
      </c>
      <c r="BU13" s="1250">
        <v>194.4</v>
      </c>
      <c r="BV13" s="1250">
        <v>188.2</v>
      </c>
      <c r="BW13" s="1250">
        <v>187.5</v>
      </c>
      <c r="BX13" s="1250">
        <v>189.8</v>
      </c>
      <c r="BY13" s="1250">
        <v>186.5</v>
      </c>
      <c r="BZ13" s="1250">
        <v>201.1</v>
      </c>
      <c r="CA13" s="1250">
        <v>203.7</v>
      </c>
      <c r="CB13" s="1250">
        <v>208.7</v>
      </c>
      <c r="CC13" s="1250">
        <v>253.2</v>
      </c>
      <c r="CD13" s="1250">
        <v>237.2</v>
      </c>
      <c r="CE13" s="1250">
        <v>235</v>
      </c>
      <c r="CF13" s="1250">
        <v>243.7</v>
      </c>
      <c r="CG13" s="1250">
        <v>242.3</v>
      </c>
      <c r="CH13" s="1250">
        <v>234.5</v>
      </c>
      <c r="CI13" s="1250">
        <v>222.9</v>
      </c>
      <c r="CJ13" s="1250">
        <v>225.6</v>
      </c>
      <c r="CK13" s="1250">
        <v>237</v>
      </c>
      <c r="CL13" s="1250">
        <v>219.7</v>
      </c>
      <c r="CM13" s="1250">
        <v>220.7</v>
      </c>
      <c r="CN13" s="1250">
        <v>223.8</v>
      </c>
      <c r="CO13" s="1250">
        <v>208.7</v>
      </c>
      <c r="CP13" s="1250">
        <v>201.3</v>
      </c>
      <c r="CQ13" s="1250">
        <v>198.5</v>
      </c>
      <c r="CR13" s="1250">
        <v>208.3</v>
      </c>
      <c r="CS13" s="1250">
        <v>204.9</v>
      </c>
      <c r="CT13" s="1250">
        <v>223.8</v>
      </c>
      <c r="CU13" s="1250">
        <v>237.1</v>
      </c>
      <c r="CV13" s="1250">
        <v>220.2</v>
      </c>
      <c r="CW13" s="1250">
        <v>183.6</v>
      </c>
      <c r="CX13" s="1250">
        <v>184.4</v>
      </c>
      <c r="CY13" s="1250">
        <v>224.8</v>
      </c>
      <c r="CZ13" s="1250">
        <v>212.8</v>
      </c>
      <c r="DA13" s="1250">
        <v>227.1</v>
      </c>
      <c r="DB13" s="1250">
        <v>203</v>
      </c>
      <c r="DC13" s="1250">
        <v>199.8</v>
      </c>
      <c r="DD13" s="1250">
        <v>200.3</v>
      </c>
      <c r="DE13" s="1250">
        <v>199.5</v>
      </c>
      <c r="DF13" s="1250">
        <v>200.1</v>
      </c>
      <c r="DG13" s="1250">
        <v>232.4</v>
      </c>
      <c r="DH13" s="1250">
        <v>211</v>
      </c>
      <c r="DI13" s="1250">
        <v>211</v>
      </c>
      <c r="DJ13" s="1250">
        <v>210.2</v>
      </c>
      <c r="DK13" s="1250">
        <v>248</v>
      </c>
      <c r="DL13" s="1250">
        <v>251.7</v>
      </c>
      <c r="DM13" s="1250">
        <v>256.3</v>
      </c>
      <c r="DN13" s="1250">
        <v>254.7</v>
      </c>
      <c r="DO13" s="1250">
        <v>250.5</v>
      </c>
      <c r="DP13" s="1250">
        <v>195.8</v>
      </c>
      <c r="DQ13" s="1250">
        <v>226.3</v>
      </c>
      <c r="DR13" s="1250">
        <v>219.5</v>
      </c>
      <c r="DS13" s="1250">
        <v>234</v>
      </c>
      <c r="DT13" s="1250">
        <v>296.10000000000002</v>
      </c>
      <c r="DU13" s="1250">
        <v>223.6</v>
      </c>
      <c r="DV13" s="1250">
        <v>226.6</v>
      </c>
      <c r="DW13" s="1250">
        <v>219.6</v>
      </c>
      <c r="DX13" s="1250">
        <v>215.8</v>
      </c>
      <c r="DY13" s="1250">
        <v>268.39999999999998</v>
      </c>
      <c r="DZ13" s="1250">
        <v>187.3</v>
      </c>
      <c r="EA13" s="1250">
        <v>191.1</v>
      </c>
      <c r="EB13" s="1250">
        <v>189.1</v>
      </c>
      <c r="EC13" s="1250">
        <v>186.8</v>
      </c>
      <c r="ED13" s="1250">
        <v>188.6</v>
      </c>
      <c r="EE13" s="1250">
        <v>203.4</v>
      </c>
      <c r="EF13" s="1250">
        <v>210.3</v>
      </c>
      <c r="EG13" s="1250">
        <v>203.3</v>
      </c>
      <c r="EH13" s="1250">
        <v>199.4</v>
      </c>
      <c r="EI13" s="1250">
        <v>213.8</v>
      </c>
      <c r="EJ13" s="1250">
        <v>203.2</v>
      </c>
      <c r="EK13" s="1250">
        <v>194.7</v>
      </c>
      <c r="EL13" s="1250">
        <v>207.1</v>
      </c>
      <c r="EM13" s="1250">
        <v>196.8</v>
      </c>
      <c r="EN13" s="1250">
        <v>212.5</v>
      </c>
      <c r="EO13" s="1250">
        <v>204.6</v>
      </c>
      <c r="EP13" s="1250">
        <v>187.4</v>
      </c>
      <c r="EQ13" s="1250">
        <v>186.2</v>
      </c>
      <c r="ER13" s="1250">
        <v>184.8</v>
      </c>
      <c r="ES13" s="1250">
        <v>219.1</v>
      </c>
      <c r="ET13" s="1250">
        <v>221.7</v>
      </c>
      <c r="EU13" s="1250">
        <v>226.1</v>
      </c>
      <c r="EV13" s="1250">
        <v>209.9</v>
      </c>
      <c r="EW13" s="1250">
        <v>213.7</v>
      </c>
      <c r="EX13" s="1250">
        <v>253.5</v>
      </c>
      <c r="EY13" s="1250">
        <v>224.9</v>
      </c>
      <c r="EZ13" s="1250">
        <v>221</v>
      </c>
      <c r="FA13" s="1250">
        <v>217.7</v>
      </c>
      <c r="FB13" s="1250">
        <v>232.7</v>
      </c>
      <c r="FC13" s="1250">
        <v>189.1</v>
      </c>
      <c r="FD13" s="1250">
        <v>187.4</v>
      </c>
      <c r="FE13" s="1250">
        <v>196.5</v>
      </c>
      <c r="FF13" s="1250">
        <v>200.8</v>
      </c>
      <c r="FG13" s="1250">
        <v>191.3</v>
      </c>
      <c r="FH13" s="1250">
        <v>182.8</v>
      </c>
      <c r="FI13" s="1250">
        <v>191.3</v>
      </c>
      <c r="FJ13" s="1250">
        <v>190.9</v>
      </c>
      <c r="FK13" s="1250">
        <v>182.1</v>
      </c>
      <c r="FL13" s="1250">
        <v>181.4</v>
      </c>
      <c r="FM13" s="1250">
        <v>182.3</v>
      </c>
      <c r="FN13" s="1250">
        <v>186.2</v>
      </c>
      <c r="FO13" s="1250">
        <v>184.5</v>
      </c>
      <c r="FP13" s="1250">
        <v>188.6</v>
      </c>
      <c r="FQ13" s="1250">
        <v>181.9</v>
      </c>
      <c r="FR13" s="1250">
        <v>183.9</v>
      </c>
      <c r="FS13" s="1250">
        <v>188.7</v>
      </c>
      <c r="FT13" s="1250">
        <v>184.7</v>
      </c>
      <c r="FU13" s="1250">
        <v>183.6</v>
      </c>
      <c r="FV13" s="1250">
        <v>184.5</v>
      </c>
      <c r="FW13" s="1250">
        <v>180.1</v>
      </c>
      <c r="FX13" s="1250">
        <v>179.7</v>
      </c>
      <c r="FY13" s="1250">
        <v>194.3</v>
      </c>
      <c r="FZ13" s="1250">
        <v>199.5</v>
      </c>
      <c r="GA13" s="1250">
        <v>203.9</v>
      </c>
      <c r="GB13" s="1250">
        <v>200.4</v>
      </c>
      <c r="GC13" s="1250">
        <v>206.2</v>
      </c>
      <c r="GD13" s="1250">
        <v>189.6</v>
      </c>
      <c r="GE13" s="1250">
        <v>190.3</v>
      </c>
      <c r="GF13" s="1251">
        <f t="shared" si="2"/>
        <v>193.55</v>
      </c>
      <c r="GG13" s="1251">
        <f t="shared" si="1"/>
        <v>201.85</v>
      </c>
      <c r="GH13" s="1252">
        <v>197.5</v>
      </c>
      <c r="GI13" s="1250">
        <v>194.5</v>
      </c>
      <c r="GJ13" s="1250">
        <v>235.3</v>
      </c>
      <c r="GK13" s="1250">
        <v>209.2</v>
      </c>
      <c r="GL13" s="1250">
        <v>228.6</v>
      </c>
      <c r="GM13" s="1250">
        <v>211.8</v>
      </c>
      <c r="GN13" s="1250">
        <v>215.7</v>
      </c>
      <c r="GO13" s="1250">
        <v>218.3</v>
      </c>
      <c r="GP13" s="1250">
        <v>226.2</v>
      </c>
      <c r="GQ13" s="1250">
        <v>221.1</v>
      </c>
      <c r="GR13" s="1250">
        <v>228.3</v>
      </c>
      <c r="GS13" s="1250">
        <v>226</v>
      </c>
      <c r="GT13" s="1250">
        <v>197.8</v>
      </c>
      <c r="GU13" s="1250">
        <v>244.2</v>
      </c>
      <c r="GV13" s="1250">
        <v>245.2</v>
      </c>
      <c r="GW13" s="1250">
        <v>230.9</v>
      </c>
      <c r="GX13" s="1250">
        <v>239</v>
      </c>
      <c r="GY13" s="1250">
        <v>237.4</v>
      </c>
      <c r="GZ13" s="1250">
        <v>241.2</v>
      </c>
      <c r="HA13" s="1250">
        <v>236.1</v>
      </c>
      <c r="HB13" s="1250">
        <v>246.1</v>
      </c>
      <c r="HC13" s="1250">
        <v>234</v>
      </c>
      <c r="HD13" s="1250">
        <v>221.8</v>
      </c>
      <c r="HE13" s="759"/>
      <c r="HF13" s="759">
        <f t="shared" si="0"/>
        <v>296.10000000000002</v>
      </c>
    </row>
    <row r="14" spans="1:214" ht="22.15" customHeight="1">
      <c r="A14" s="1249">
        <v>2018</v>
      </c>
      <c r="B14" s="1252">
        <v>186.4</v>
      </c>
      <c r="C14" s="1252">
        <v>185.6</v>
      </c>
      <c r="D14" s="1252">
        <v>183</v>
      </c>
      <c r="E14" s="1252">
        <v>185.1</v>
      </c>
      <c r="F14" s="1252">
        <v>186.2</v>
      </c>
      <c r="G14" s="1252">
        <v>253.6</v>
      </c>
      <c r="H14" s="1252">
        <v>192.4</v>
      </c>
      <c r="I14" s="1252">
        <v>187.7</v>
      </c>
      <c r="J14" s="1252">
        <v>177</v>
      </c>
      <c r="K14" s="1252">
        <v>180.1</v>
      </c>
      <c r="L14" s="1252">
        <v>242.6</v>
      </c>
      <c r="M14" s="1252">
        <v>240</v>
      </c>
      <c r="N14" s="1252">
        <v>243.4</v>
      </c>
      <c r="O14" s="1252">
        <v>247.5</v>
      </c>
      <c r="P14" s="1252">
        <v>240.3</v>
      </c>
      <c r="Q14" s="1252">
        <v>242.1</v>
      </c>
      <c r="R14" s="1252">
        <v>248.9</v>
      </c>
      <c r="S14" s="1252">
        <v>241.2</v>
      </c>
      <c r="T14" s="1252">
        <v>281.3</v>
      </c>
      <c r="U14" s="1252">
        <v>239.3</v>
      </c>
      <c r="V14" s="1252">
        <v>247.3</v>
      </c>
      <c r="W14" s="1252">
        <v>254.8</v>
      </c>
      <c r="X14" s="1252">
        <v>193.4</v>
      </c>
      <c r="Y14" s="1252">
        <v>197.6</v>
      </c>
      <c r="Z14" s="1252">
        <v>193</v>
      </c>
      <c r="AA14" s="1252">
        <v>232.5</v>
      </c>
      <c r="AB14" s="1252">
        <v>232</v>
      </c>
      <c r="AC14" s="1252">
        <v>232.9</v>
      </c>
      <c r="AD14" s="1252">
        <v>231.6</v>
      </c>
      <c r="AE14" s="1252">
        <v>233.8</v>
      </c>
      <c r="AF14" s="1252">
        <v>232.2</v>
      </c>
      <c r="AG14" s="1252">
        <v>238.7</v>
      </c>
      <c r="AH14" s="1252">
        <v>232.6</v>
      </c>
      <c r="AI14" s="1252">
        <v>225.6</v>
      </c>
      <c r="AJ14" s="1252">
        <v>207.2</v>
      </c>
      <c r="AK14" s="1252">
        <v>179.4</v>
      </c>
      <c r="AL14" s="1252">
        <v>179.2</v>
      </c>
      <c r="AM14" s="1252">
        <v>180.1</v>
      </c>
      <c r="AN14" s="1252">
        <v>182.5</v>
      </c>
      <c r="AO14" s="1252">
        <v>181</v>
      </c>
      <c r="AP14" s="1252">
        <v>182.7</v>
      </c>
      <c r="AQ14" s="1252">
        <v>186.6</v>
      </c>
      <c r="AR14" s="1252">
        <v>192.3</v>
      </c>
      <c r="AS14" s="1252">
        <v>186.9</v>
      </c>
      <c r="AT14" s="1252">
        <v>186.7</v>
      </c>
      <c r="AU14" s="1252">
        <v>188.1</v>
      </c>
      <c r="AV14" s="1252">
        <v>261.89999999999998</v>
      </c>
      <c r="AW14" s="1252">
        <v>200.1</v>
      </c>
      <c r="AX14" s="1252">
        <v>200.6</v>
      </c>
      <c r="AY14" s="1252">
        <v>261.10000000000002</v>
      </c>
      <c r="AZ14" s="1252">
        <v>222</v>
      </c>
      <c r="BA14" s="1252">
        <v>257.39999999999998</v>
      </c>
      <c r="BB14" s="1252">
        <v>227.8</v>
      </c>
      <c r="BC14" s="1252">
        <v>243</v>
      </c>
      <c r="BD14" s="1252">
        <v>223.6</v>
      </c>
      <c r="BE14" s="1252">
        <v>196</v>
      </c>
      <c r="BF14" s="1252">
        <v>198.6</v>
      </c>
      <c r="BG14" s="1252">
        <v>193.1</v>
      </c>
      <c r="BH14" s="1252">
        <v>223</v>
      </c>
      <c r="BI14" s="1252">
        <v>199.8</v>
      </c>
      <c r="BJ14" s="1252">
        <v>195.2</v>
      </c>
      <c r="BK14" s="1252">
        <v>199.8</v>
      </c>
      <c r="BL14" s="1252">
        <v>189.6</v>
      </c>
      <c r="BM14" s="1252">
        <v>203</v>
      </c>
      <c r="BN14" s="1252">
        <v>212.5</v>
      </c>
      <c r="BO14" s="1252">
        <v>201.8</v>
      </c>
      <c r="BP14" s="1252">
        <v>195.8</v>
      </c>
      <c r="BQ14" s="1252">
        <v>195.1</v>
      </c>
      <c r="BR14" s="1252">
        <v>195</v>
      </c>
      <c r="BS14" s="1252">
        <v>189</v>
      </c>
      <c r="BT14" s="1252">
        <v>191.6</v>
      </c>
      <c r="BU14" s="1252">
        <v>190.7</v>
      </c>
      <c r="BV14" s="1252">
        <v>184.7</v>
      </c>
      <c r="BW14" s="1252">
        <v>184</v>
      </c>
      <c r="BX14" s="1252">
        <v>186.2</v>
      </c>
      <c r="BY14" s="1252">
        <v>183</v>
      </c>
      <c r="BZ14" s="1252">
        <v>197.3</v>
      </c>
      <c r="CA14" s="1252">
        <v>199.9</v>
      </c>
      <c r="CB14" s="1252">
        <v>204.8</v>
      </c>
      <c r="CC14" s="1252">
        <v>248.4</v>
      </c>
      <c r="CD14" s="1252">
        <v>232.7</v>
      </c>
      <c r="CE14" s="1252">
        <v>230.6</v>
      </c>
      <c r="CF14" s="1252">
        <v>239.1</v>
      </c>
      <c r="CG14" s="1252">
        <v>237.7</v>
      </c>
      <c r="CH14" s="1252">
        <v>230.1</v>
      </c>
      <c r="CI14" s="1252">
        <v>218.7</v>
      </c>
      <c r="CJ14" s="1252">
        <v>221.4</v>
      </c>
      <c r="CK14" s="1252">
        <v>232.5</v>
      </c>
      <c r="CL14" s="1252">
        <v>215.6</v>
      </c>
      <c r="CM14" s="1252">
        <v>216.5</v>
      </c>
      <c r="CN14" s="1252">
        <v>219.6</v>
      </c>
      <c r="CO14" s="1252">
        <v>204.8</v>
      </c>
      <c r="CP14" s="1252">
        <v>197.5</v>
      </c>
      <c r="CQ14" s="1252">
        <v>194.8</v>
      </c>
      <c r="CR14" s="1252">
        <v>204.4</v>
      </c>
      <c r="CS14" s="1252">
        <v>201</v>
      </c>
      <c r="CT14" s="1252">
        <v>219.6</v>
      </c>
      <c r="CU14" s="1252">
        <v>232.6</v>
      </c>
      <c r="CV14" s="1252">
        <v>216.1</v>
      </c>
      <c r="CW14" s="1252">
        <v>180.1</v>
      </c>
      <c r="CX14" s="1252">
        <v>180.9</v>
      </c>
      <c r="CY14" s="1252">
        <v>220.6</v>
      </c>
      <c r="CZ14" s="1252">
        <v>208.8</v>
      </c>
      <c r="DA14" s="1252">
        <v>222.8</v>
      </c>
      <c r="DB14" s="1252">
        <v>199.2</v>
      </c>
      <c r="DC14" s="1252">
        <v>196</v>
      </c>
      <c r="DD14" s="1252">
        <v>196.5</v>
      </c>
      <c r="DE14" s="1252">
        <v>195.7</v>
      </c>
      <c r="DF14" s="1252">
        <v>196.3</v>
      </c>
      <c r="DG14" s="1252">
        <v>228</v>
      </c>
      <c r="DH14" s="1252">
        <v>207</v>
      </c>
      <c r="DI14" s="1252">
        <v>207</v>
      </c>
      <c r="DJ14" s="1252">
        <v>206.2</v>
      </c>
      <c r="DK14" s="1252">
        <v>243.3</v>
      </c>
      <c r="DL14" s="1252">
        <v>247</v>
      </c>
      <c r="DM14" s="1252">
        <v>251.5</v>
      </c>
      <c r="DN14" s="1252">
        <v>249.9</v>
      </c>
      <c r="DO14" s="1252">
        <v>245.8</v>
      </c>
      <c r="DP14" s="1252">
        <v>192.1</v>
      </c>
      <c r="DQ14" s="1252">
        <v>222</v>
      </c>
      <c r="DR14" s="1252">
        <v>215.4</v>
      </c>
      <c r="DS14" s="1252">
        <v>229.6</v>
      </c>
      <c r="DT14" s="1252">
        <v>290.5</v>
      </c>
      <c r="DU14" s="1252">
        <v>219.4</v>
      </c>
      <c r="DV14" s="1252">
        <v>222</v>
      </c>
      <c r="DW14" s="1252">
        <v>215.5</v>
      </c>
      <c r="DX14" s="1252">
        <v>211.7</v>
      </c>
      <c r="DY14" s="1252">
        <v>263.3</v>
      </c>
      <c r="DZ14" s="1252">
        <v>183.8</v>
      </c>
      <c r="EA14" s="1252">
        <v>187.5</v>
      </c>
      <c r="EB14" s="1252">
        <v>185.5</v>
      </c>
      <c r="EC14" s="1252">
        <v>183.3</v>
      </c>
      <c r="ED14" s="1252">
        <v>185</v>
      </c>
      <c r="EE14" s="1252">
        <v>199.6</v>
      </c>
      <c r="EF14" s="1252">
        <v>206.3</v>
      </c>
      <c r="EG14" s="1252">
        <v>199.5</v>
      </c>
      <c r="EH14" s="1252">
        <v>195.6</v>
      </c>
      <c r="EI14" s="1252">
        <v>209.8</v>
      </c>
      <c r="EJ14" s="1252">
        <v>199.4</v>
      </c>
      <c r="EK14" s="1252">
        <v>191</v>
      </c>
      <c r="EL14" s="1252">
        <v>203.2</v>
      </c>
      <c r="EM14" s="1252">
        <v>193.1</v>
      </c>
      <c r="EN14" s="1252">
        <v>208.5</v>
      </c>
      <c r="EO14" s="1252">
        <v>200.7</v>
      </c>
      <c r="EP14" s="1252">
        <v>183.9</v>
      </c>
      <c r="EQ14" s="1252">
        <v>182.7</v>
      </c>
      <c r="ER14" s="1252">
        <v>181.3</v>
      </c>
      <c r="ES14" s="1252">
        <v>215</v>
      </c>
      <c r="ET14" s="1252">
        <v>217.5</v>
      </c>
      <c r="EU14" s="1252">
        <v>221.8</v>
      </c>
      <c r="EV14" s="1252">
        <v>205.9</v>
      </c>
      <c r="EW14" s="1252">
        <v>209.7</v>
      </c>
      <c r="EX14" s="1252">
        <v>248.7</v>
      </c>
      <c r="EY14" s="1252">
        <v>220.7</v>
      </c>
      <c r="EZ14" s="1252">
        <v>216.8</v>
      </c>
      <c r="FA14" s="1252">
        <v>213.6</v>
      </c>
      <c r="FB14" s="1252">
        <v>228.3</v>
      </c>
      <c r="FC14" s="1252">
        <v>185.5</v>
      </c>
      <c r="FD14" s="1252">
        <v>183.9</v>
      </c>
      <c r="FE14" s="1252">
        <v>192.8</v>
      </c>
      <c r="FF14" s="1252">
        <v>197</v>
      </c>
      <c r="FG14" s="1252">
        <v>187.7</v>
      </c>
      <c r="FH14" s="1252">
        <v>179.4</v>
      </c>
      <c r="FI14" s="1252">
        <v>187.7</v>
      </c>
      <c r="FJ14" s="1252">
        <v>187.3</v>
      </c>
      <c r="FK14" s="1252">
        <v>178.7</v>
      </c>
      <c r="FL14" s="1252">
        <v>178</v>
      </c>
      <c r="FM14" s="1252">
        <v>178.9</v>
      </c>
      <c r="FN14" s="1252">
        <v>182.7</v>
      </c>
      <c r="FO14" s="1252">
        <v>181</v>
      </c>
      <c r="FP14" s="1252">
        <v>185</v>
      </c>
      <c r="FQ14" s="1252">
        <v>178.5</v>
      </c>
      <c r="FR14" s="1252">
        <v>180.4</v>
      </c>
      <c r="FS14" s="1252">
        <v>185.1</v>
      </c>
      <c r="FT14" s="1252">
        <v>181.2</v>
      </c>
      <c r="FU14" s="1252">
        <v>180.1</v>
      </c>
      <c r="FV14" s="1252">
        <v>181</v>
      </c>
      <c r="FW14" s="1252">
        <v>176.7</v>
      </c>
      <c r="FX14" s="1252">
        <v>176.3</v>
      </c>
      <c r="FY14" s="1252">
        <v>190.6</v>
      </c>
      <c r="FZ14" s="1252">
        <v>195.7</v>
      </c>
      <c r="GA14" s="1252">
        <v>200.1</v>
      </c>
      <c r="GB14" s="1252">
        <v>196.6</v>
      </c>
      <c r="GC14" s="1252">
        <v>202.3</v>
      </c>
      <c r="GD14" s="1252">
        <v>186</v>
      </c>
      <c r="GE14" s="1252">
        <v>186.7</v>
      </c>
      <c r="GF14" s="1251">
        <f t="shared" si="2"/>
        <v>189.9</v>
      </c>
      <c r="GG14" s="1251">
        <f t="shared" si="1"/>
        <v>198.05</v>
      </c>
      <c r="GH14" s="1252">
        <v>193.8</v>
      </c>
      <c r="GI14" s="1252">
        <v>190.8</v>
      </c>
      <c r="GJ14" s="1252">
        <v>230.9</v>
      </c>
      <c r="GK14" s="1252">
        <v>205.3</v>
      </c>
      <c r="GL14" s="1252">
        <v>224.3</v>
      </c>
      <c r="GM14" s="1252">
        <v>207.8</v>
      </c>
      <c r="GN14" s="1252">
        <v>211.6</v>
      </c>
      <c r="GO14" s="1252">
        <v>214.2</v>
      </c>
      <c r="GP14" s="1252">
        <v>221.9</v>
      </c>
      <c r="GQ14" s="1252">
        <v>216.9</v>
      </c>
      <c r="GR14" s="1252">
        <v>224</v>
      </c>
      <c r="GS14" s="1252">
        <v>221.7</v>
      </c>
      <c r="GT14" s="1252">
        <v>194.1</v>
      </c>
      <c r="GU14" s="1252">
        <v>239.6</v>
      </c>
      <c r="GV14" s="1252">
        <v>240.6</v>
      </c>
      <c r="GW14" s="1252">
        <v>226.6</v>
      </c>
      <c r="GX14" s="1252">
        <v>234.5</v>
      </c>
      <c r="GY14" s="1252">
        <v>232.9</v>
      </c>
      <c r="GZ14" s="1252">
        <v>236.7</v>
      </c>
      <c r="HA14" s="1252">
        <v>231.7</v>
      </c>
      <c r="HB14" s="1252">
        <v>241.5</v>
      </c>
      <c r="HC14" s="1252">
        <v>229.6</v>
      </c>
      <c r="HD14" s="1252">
        <v>217.6</v>
      </c>
      <c r="HE14" s="759"/>
      <c r="HF14" s="759">
        <f t="shared" si="0"/>
        <v>290.5</v>
      </c>
    </row>
    <row r="15" spans="1:214" ht="22.15" customHeight="1">
      <c r="A15" s="1249">
        <v>2017</v>
      </c>
      <c r="B15" s="1250">
        <v>178.6</v>
      </c>
      <c r="C15" s="1250">
        <v>178.3</v>
      </c>
      <c r="D15" s="1250">
        <v>177.9</v>
      </c>
      <c r="E15" s="1250">
        <v>178.5</v>
      </c>
      <c r="F15" s="1250">
        <v>179.6</v>
      </c>
      <c r="G15" s="1250">
        <v>246.2</v>
      </c>
      <c r="H15" s="1250">
        <v>183.8</v>
      </c>
      <c r="I15" s="1250">
        <v>181.3</v>
      </c>
      <c r="J15" s="1250">
        <v>170.6</v>
      </c>
      <c r="K15" s="1250">
        <v>172.8</v>
      </c>
      <c r="L15" s="1250">
        <v>233.6</v>
      </c>
      <c r="M15" s="1250">
        <v>229.2</v>
      </c>
      <c r="N15" s="1250">
        <v>232</v>
      </c>
      <c r="O15" s="1250">
        <v>237.8</v>
      </c>
      <c r="P15" s="1250">
        <v>231.9</v>
      </c>
      <c r="Q15" s="1250">
        <v>233.2</v>
      </c>
      <c r="R15" s="1250">
        <v>237.9</v>
      </c>
      <c r="S15" s="1250">
        <v>229.3</v>
      </c>
      <c r="T15" s="1250">
        <v>270.8</v>
      </c>
      <c r="U15" s="1250">
        <v>231.1</v>
      </c>
      <c r="V15" s="1250">
        <v>236.2</v>
      </c>
      <c r="W15" s="1250">
        <v>246.8</v>
      </c>
      <c r="X15" s="1250">
        <v>187.3</v>
      </c>
      <c r="Y15" s="1250">
        <v>187.8</v>
      </c>
      <c r="Z15" s="1250">
        <v>183.1</v>
      </c>
      <c r="AA15" s="1250">
        <v>224.4</v>
      </c>
      <c r="AB15" s="1250">
        <v>222.9</v>
      </c>
      <c r="AC15" s="1250">
        <v>223.9</v>
      </c>
      <c r="AD15" s="1250">
        <v>222.5</v>
      </c>
      <c r="AE15" s="1250">
        <v>225</v>
      </c>
      <c r="AF15" s="1250">
        <v>224.2</v>
      </c>
      <c r="AG15" s="1250">
        <v>230.8</v>
      </c>
      <c r="AH15" s="1250">
        <v>224.2</v>
      </c>
      <c r="AI15" s="1250">
        <v>217.7</v>
      </c>
      <c r="AJ15" s="1250">
        <v>199.1</v>
      </c>
      <c r="AK15" s="1250">
        <v>173.7</v>
      </c>
      <c r="AL15" s="1250">
        <v>172.7</v>
      </c>
      <c r="AM15" s="1250">
        <v>173.4</v>
      </c>
      <c r="AN15" s="1250">
        <v>176.5</v>
      </c>
      <c r="AO15" s="1250">
        <v>174.1</v>
      </c>
      <c r="AP15" s="1250">
        <v>177</v>
      </c>
      <c r="AQ15" s="1250">
        <v>179.4</v>
      </c>
      <c r="AR15" s="1250">
        <v>185.1</v>
      </c>
      <c r="AS15" s="1250">
        <v>180.1</v>
      </c>
      <c r="AT15" s="1250">
        <v>179.4</v>
      </c>
      <c r="AU15" s="1250">
        <v>180.5</v>
      </c>
      <c r="AV15" s="1250">
        <v>249.7</v>
      </c>
      <c r="AW15" s="1250">
        <v>192.5</v>
      </c>
      <c r="AX15" s="1250">
        <v>193.4</v>
      </c>
      <c r="AY15" s="1250">
        <v>251.7</v>
      </c>
      <c r="AZ15" s="1250">
        <v>215.3</v>
      </c>
      <c r="BA15" s="1250">
        <v>247.9</v>
      </c>
      <c r="BB15" s="1250">
        <v>220.4</v>
      </c>
      <c r="BC15" s="1250">
        <v>233.1</v>
      </c>
      <c r="BD15" s="1250">
        <v>216</v>
      </c>
      <c r="BE15" s="1250">
        <v>189.8</v>
      </c>
      <c r="BF15" s="1250">
        <v>192.3</v>
      </c>
      <c r="BG15" s="1250">
        <v>185.2</v>
      </c>
      <c r="BH15" s="1250">
        <v>216.8</v>
      </c>
      <c r="BI15" s="1250">
        <v>191.8</v>
      </c>
      <c r="BJ15" s="1250">
        <v>189.5</v>
      </c>
      <c r="BK15" s="1250">
        <v>192.4</v>
      </c>
      <c r="BL15" s="1250">
        <v>193.1</v>
      </c>
      <c r="BM15" s="1250">
        <v>194.8</v>
      </c>
      <c r="BN15" s="1250">
        <v>205.7</v>
      </c>
      <c r="BO15" s="1250">
        <v>195</v>
      </c>
      <c r="BP15" s="1250">
        <v>188.2</v>
      </c>
      <c r="BQ15" s="1250">
        <v>188.5</v>
      </c>
      <c r="BR15" s="1250">
        <v>188.1</v>
      </c>
      <c r="BS15" s="1250">
        <v>183</v>
      </c>
      <c r="BT15" s="1250">
        <v>186.2</v>
      </c>
      <c r="BU15" s="1250">
        <v>185</v>
      </c>
      <c r="BV15" s="1250">
        <v>179.2</v>
      </c>
      <c r="BW15" s="1250">
        <v>178.2</v>
      </c>
      <c r="BX15" s="1250">
        <v>179.3</v>
      </c>
      <c r="BY15" s="1250">
        <v>177.9</v>
      </c>
      <c r="BZ15" s="1250">
        <v>192</v>
      </c>
      <c r="CA15" s="1250">
        <v>194.7</v>
      </c>
      <c r="CB15" s="1250">
        <v>197.7</v>
      </c>
      <c r="CC15" s="1250">
        <v>240</v>
      </c>
      <c r="CD15" s="1250">
        <v>226.4</v>
      </c>
      <c r="CE15" s="1250">
        <v>225</v>
      </c>
      <c r="CF15" s="1250">
        <v>233.9</v>
      </c>
      <c r="CG15" s="1250">
        <v>231.3</v>
      </c>
      <c r="CH15" s="1250">
        <v>224.4</v>
      </c>
      <c r="CI15" s="1250">
        <v>211.7</v>
      </c>
      <c r="CJ15" s="1250">
        <v>213.5</v>
      </c>
      <c r="CK15" s="1250">
        <v>226.1</v>
      </c>
      <c r="CL15" s="1250">
        <v>208.7</v>
      </c>
      <c r="CM15" s="1250">
        <v>211.1</v>
      </c>
      <c r="CN15" s="1250">
        <v>212.1</v>
      </c>
      <c r="CO15" s="1250">
        <v>199.2</v>
      </c>
      <c r="CP15" s="1250">
        <v>190.9</v>
      </c>
      <c r="CQ15" s="1250">
        <v>189.6</v>
      </c>
      <c r="CR15" s="1250">
        <v>198.1</v>
      </c>
      <c r="CS15" s="1250">
        <v>195.3</v>
      </c>
      <c r="CT15" s="1250">
        <v>212.1</v>
      </c>
      <c r="CU15" s="1250">
        <v>221.2</v>
      </c>
      <c r="CV15" s="1250">
        <v>207.6</v>
      </c>
      <c r="CW15" s="1250">
        <v>175.3</v>
      </c>
      <c r="CX15" s="1250">
        <v>175.6</v>
      </c>
      <c r="CY15" s="1250">
        <v>212.9</v>
      </c>
      <c r="CZ15" s="1250">
        <v>202.8</v>
      </c>
      <c r="DA15" s="1250">
        <v>213.1</v>
      </c>
      <c r="DB15" s="1250">
        <v>192.9</v>
      </c>
      <c r="DC15" s="1250">
        <v>190.4</v>
      </c>
      <c r="DD15" s="1250">
        <v>191</v>
      </c>
      <c r="DE15" s="1250">
        <v>189.6</v>
      </c>
      <c r="DF15" s="1250">
        <v>190.1</v>
      </c>
      <c r="DG15" s="1250">
        <v>220.1</v>
      </c>
      <c r="DH15" s="1250">
        <v>199.8</v>
      </c>
      <c r="DI15" s="1250">
        <v>200.7</v>
      </c>
      <c r="DJ15" s="1250">
        <v>200</v>
      </c>
      <c r="DK15" s="1250">
        <v>236.3</v>
      </c>
      <c r="DL15" s="1250">
        <v>238.7</v>
      </c>
      <c r="DM15" s="1250">
        <v>242.7</v>
      </c>
      <c r="DN15" s="1250">
        <v>240.8</v>
      </c>
      <c r="DO15" s="1250">
        <v>239.2</v>
      </c>
      <c r="DP15" s="1250">
        <v>185.9</v>
      </c>
      <c r="DQ15" s="1250">
        <v>213.5</v>
      </c>
      <c r="DR15" s="1250">
        <v>208.4</v>
      </c>
      <c r="DS15" s="1250">
        <v>220.8</v>
      </c>
      <c r="DT15" s="1250">
        <v>282.89999999999998</v>
      </c>
      <c r="DU15" s="1250">
        <v>213</v>
      </c>
      <c r="DV15" s="1250">
        <v>213.8</v>
      </c>
      <c r="DW15" s="1250">
        <v>208.9</v>
      </c>
      <c r="DX15" s="1250">
        <v>205.9</v>
      </c>
      <c r="DY15" s="1250">
        <v>256.8</v>
      </c>
      <c r="DZ15" s="1250">
        <v>177</v>
      </c>
      <c r="EA15" s="1250">
        <v>180.3</v>
      </c>
      <c r="EB15" s="1250">
        <v>178.2</v>
      </c>
      <c r="EC15" s="1250">
        <v>175.8</v>
      </c>
      <c r="ED15" s="1250">
        <v>178</v>
      </c>
      <c r="EE15" s="1250">
        <v>182.8</v>
      </c>
      <c r="EF15" s="1250">
        <v>199.4</v>
      </c>
      <c r="EG15" s="1250">
        <v>192.2</v>
      </c>
      <c r="EH15" s="1250">
        <v>186.1</v>
      </c>
      <c r="EI15" s="1250">
        <v>202.6</v>
      </c>
      <c r="EJ15" s="1250">
        <v>191.6</v>
      </c>
      <c r="EK15" s="1250">
        <v>186.1</v>
      </c>
      <c r="EL15" s="1250">
        <v>196.9</v>
      </c>
      <c r="EM15" s="1250">
        <v>187.8</v>
      </c>
      <c r="EN15" s="1250">
        <v>201.4</v>
      </c>
      <c r="EO15" s="1250">
        <v>194.2</v>
      </c>
      <c r="EP15" s="1250">
        <v>178</v>
      </c>
      <c r="EQ15" s="1250">
        <v>177</v>
      </c>
      <c r="ER15" s="1250">
        <v>174.8</v>
      </c>
      <c r="ES15" s="1250">
        <v>207.3</v>
      </c>
      <c r="ET15" s="1250">
        <v>209.5</v>
      </c>
      <c r="EU15" s="1250">
        <v>213.7</v>
      </c>
      <c r="EV15" s="1250">
        <v>199.5</v>
      </c>
      <c r="EW15" s="1250">
        <v>202.4</v>
      </c>
      <c r="EX15" s="1250">
        <v>239.8</v>
      </c>
      <c r="EY15" s="1250">
        <v>213.6</v>
      </c>
      <c r="EZ15" s="1250">
        <v>210.7</v>
      </c>
      <c r="FA15" s="1250">
        <v>207.4</v>
      </c>
      <c r="FB15" s="1250">
        <v>218.6</v>
      </c>
      <c r="FC15" s="1250">
        <v>178.4</v>
      </c>
      <c r="FD15" s="1250">
        <v>176.5</v>
      </c>
      <c r="FE15" s="1250">
        <v>185.3</v>
      </c>
      <c r="FF15" s="1250">
        <v>184.8</v>
      </c>
      <c r="FG15" s="1250">
        <v>181.9</v>
      </c>
      <c r="FH15" s="1250">
        <v>173.3</v>
      </c>
      <c r="FI15" s="1250">
        <v>180.9</v>
      </c>
      <c r="FJ15" s="1250">
        <v>180.5</v>
      </c>
      <c r="FK15" s="1250">
        <v>174</v>
      </c>
      <c r="FL15" s="1250">
        <v>172.8</v>
      </c>
      <c r="FM15" s="1250">
        <v>172.6</v>
      </c>
      <c r="FN15" s="1250">
        <v>178</v>
      </c>
      <c r="FO15" s="1250">
        <v>178.9</v>
      </c>
      <c r="FP15" s="1250">
        <v>180</v>
      </c>
      <c r="FQ15" s="1250">
        <v>173.5</v>
      </c>
      <c r="FR15" s="1250">
        <v>174.9</v>
      </c>
      <c r="FS15" s="1250">
        <v>179.2</v>
      </c>
      <c r="FT15" s="1250">
        <v>176.6</v>
      </c>
      <c r="FU15" s="1250">
        <v>175.6</v>
      </c>
      <c r="FV15" s="1250">
        <v>175.5</v>
      </c>
      <c r="FW15" s="1250">
        <v>170.7</v>
      </c>
      <c r="FX15" s="1250">
        <v>170.4</v>
      </c>
      <c r="FY15" s="1250">
        <v>183.3</v>
      </c>
      <c r="FZ15" s="1250">
        <v>188.8</v>
      </c>
      <c r="GA15" s="1250">
        <v>192.8</v>
      </c>
      <c r="GB15" s="1250">
        <v>189.5</v>
      </c>
      <c r="GC15" s="1250">
        <v>195.6</v>
      </c>
      <c r="GD15" s="1250">
        <v>180.7</v>
      </c>
      <c r="GE15" s="1250">
        <v>180.5</v>
      </c>
      <c r="GF15" s="1251">
        <f t="shared" si="2"/>
        <v>181.75</v>
      </c>
      <c r="GG15" s="1251">
        <f t="shared" si="1"/>
        <v>189.2</v>
      </c>
      <c r="GH15" s="1249">
        <v>182.8</v>
      </c>
      <c r="GI15" s="1250">
        <v>185.1</v>
      </c>
      <c r="GJ15" s="1250">
        <v>219.3</v>
      </c>
      <c r="GK15" s="1250">
        <v>198.8</v>
      </c>
      <c r="GL15" s="1250">
        <v>215.8</v>
      </c>
      <c r="GM15" s="1250">
        <v>201.5</v>
      </c>
      <c r="GN15" s="1250">
        <v>204.5</v>
      </c>
      <c r="GO15" s="1250">
        <v>206.9</v>
      </c>
      <c r="GP15" s="1250">
        <v>213.6</v>
      </c>
      <c r="GQ15" s="1250">
        <v>207.4</v>
      </c>
      <c r="GR15" s="1250">
        <v>215.2</v>
      </c>
      <c r="GS15" s="1250">
        <v>213.8</v>
      </c>
      <c r="GT15" s="1250">
        <v>185</v>
      </c>
      <c r="GU15" s="1250">
        <v>231.4</v>
      </c>
      <c r="GV15" s="1250">
        <v>232.3</v>
      </c>
      <c r="GW15" s="1250">
        <v>227.8</v>
      </c>
      <c r="GX15" s="1250">
        <v>225</v>
      </c>
      <c r="GY15" s="1250">
        <v>221.8</v>
      </c>
      <c r="GZ15" s="1250">
        <v>227.7</v>
      </c>
      <c r="HA15" s="1250">
        <v>222.9</v>
      </c>
      <c r="HB15" s="1250">
        <v>231.4</v>
      </c>
      <c r="HC15" s="1250">
        <v>221.5</v>
      </c>
      <c r="HD15" s="1250">
        <v>207.7</v>
      </c>
      <c r="HE15" s="759"/>
      <c r="HF15" s="759">
        <f t="shared" si="0"/>
        <v>282.89999999999998</v>
      </c>
    </row>
    <row r="16" spans="1:214" ht="22.15" customHeight="1">
      <c r="A16" s="1249">
        <v>2016</v>
      </c>
      <c r="B16" s="1249">
        <v>185.6</v>
      </c>
      <c r="C16" s="1249">
        <v>184.2</v>
      </c>
      <c r="D16" s="1249">
        <v>184.1</v>
      </c>
      <c r="E16" s="1249">
        <v>183.5</v>
      </c>
      <c r="F16" s="1249">
        <v>186.3</v>
      </c>
      <c r="G16" s="1249">
        <v>246.3</v>
      </c>
      <c r="H16" s="1249">
        <v>181.7</v>
      </c>
      <c r="I16" s="1249">
        <v>178.1</v>
      </c>
      <c r="J16" s="1249">
        <v>169.8</v>
      </c>
      <c r="K16" s="1249">
        <v>174.6</v>
      </c>
      <c r="L16" s="1249">
        <v>223.6</v>
      </c>
      <c r="M16" s="1249">
        <v>221.3</v>
      </c>
      <c r="N16" s="1249">
        <v>224.3</v>
      </c>
      <c r="O16" s="1249">
        <v>226.2</v>
      </c>
      <c r="P16" s="1249">
        <v>222.5</v>
      </c>
      <c r="Q16" s="1249">
        <v>223.3</v>
      </c>
      <c r="R16" s="1249">
        <v>227.3</v>
      </c>
      <c r="S16" s="1249">
        <v>218.3</v>
      </c>
      <c r="T16" s="1249">
        <v>256.60000000000002</v>
      </c>
      <c r="U16" s="1249">
        <v>221.9</v>
      </c>
      <c r="V16" s="1249">
        <v>227.9</v>
      </c>
      <c r="W16" s="1249">
        <v>236</v>
      </c>
      <c r="X16" s="1249">
        <v>189.4</v>
      </c>
      <c r="Y16" s="1249">
        <v>191</v>
      </c>
      <c r="Z16" s="1249">
        <v>186.2</v>
      </c>
      <c r="AA16" s="1249">
        <v>226.4</v>
      </c>
      <c r="AB16" s="1249">
        <v>225.6</v>
      </c>
      <c r="AC16" s="1249">
        <v>226.1</v>
      </c>
      <c r="AD16" s="1249">
        <v>225</v>
      </c>
      <c r="AE16" s="1249">
        <v>226.9</v>
      </c>
      <c r="AF16" s="1249">
        <v>232.7</v>
      </c>
      <c r="AG16" s="1249">
        <v>233.3</v>
      </c>
      <c r="AH16" s="1249">
        <v>225.7</v>
      </c>
      <c r="AI16" s="1249">
        <v>215.7</v>
      </c>
      <c r="AJ16" s="1249">
        <v>201.3</v>
      </c>
      <c r="AK16" s="1249">
        <v>177.7</v>
      </c>
      <c r="AL16" s="1249">
        <v>176.3</v>
      </c>
      <c r="AM16" s="1249">
        <v>179.1</v>
      </c>
      <c r="AN16" s="1249">
        <v>180.4</v>
      </c>
      <c r="AO16" s="1249">
        <v>173.4</v>
      </c>
      <c r="AP16" s="1249">
        <v>180.6</v>
      </c>
      <c r="AQ16" s="1249">
        <v>176.3</v>
      </c>
      <c r="AR16" s="1249">
        <v>185</v>
      </c>
      <c r="AS16" s="1249">
        <v>173.6</v>
      </c>
      <c r="AT16" s="1249">
        <v>172.4</v>
      </c>
      <c r="AU16" s="1249">
        <v>175.1</v>
      </c>
      <c r="AV16" s="1249">
        <v>251.7</v>
      </c>
      <c r="AW16" s="1249">
        <v>191.1</v>
      </c>
      <c r="AX16" s="1249">
        <v>190.2</v>
      </c>
      <c r="AY16" s="1249">
        <v>244.9</v>
      </c>
      <c r="AZ16" s="1249">
        <v>212.9</v>
      </c>
      <c r="BA16" s="1249">
        <v>244.3</v>
      </c>
      <c r="BB16" s="1249">
        <v>217.5</v>
      </c>
      <c r="BC16" s="1249">
        <v>229.6</v>
      </c>
      <c r="BD16" s="1249">
        <v>215.1</v>
      </c>
      <c r="BE16" s="1249">
        <v>190.5</v>
      </c>
      <c r="BF16" s="1249">
        <v>192.3</v>
      </c>
      <c r="BG16" s="1249">
        <v>184.4</v>
      </c>
      <c r="BH16" s="1249">
        <v>216.8</v>
      </c>
      <c r="BI16" s="1249">
        <v>192.5</v>
      </c>
      <c r="BJ16" s="1249">
        <v>191</v>
      </c>
      <c r="BK16" s="1249">
        <v>190.7</v>
      </c>
      <c r="BL16" s="1249">
        <v>192.8</v>
      </c>
      <c r="BM16" s="1249">
        <v>191.4</v>
      </c>
      <c r="BN16" s="1249">
        <v>199.9</v>
      </c>
      <c r="BO16" s="1249">
        <v>190</v>
      </c>
      <c r="BP16" s="1249">
        <v>184</v>
      </c>
      <c r="BQ16" s="1249">
        <v>181</v>
      </c>
      <c r="BR16" s="1249">
        <v>181</v>
      </c>
      <c r="BS16" s="1249">
        <v>191</v>
      </c>
      <c r="BT16" s="1249">
        <v>186</v>
      </c>
      <c r="BU16" s="1249">
        <v>188.1</v>
      </c>
      <c r="BV16" s="1249">
        <v>180.1</v>
      </c>
      <c r="BW16" s="1249">
        <v>176.7</v>
      </c>
      <c r="BX16" s="1249">
        <v>180</v>
      </c>
      <c r="BY16" s="1249">
        <v>173.2</v>
      </c>
      <c r="BZ16" s="1249">
        <v>197.2</v>
      </c>
      <c r="CA16" s="1249">
        <v>200</v>
      </c>
      <c r="CB16" s="1249">
        <v>193.8</v>
      </c>
      <c r="CC16" s="1249">
        <v>245</v>
      </c>
      <c r="CD16" s="1249">
        <v>230.5</v>
      </c>
      <c r="CE16" s="1249">
        <v>229</v>
      </c>
      <c r="CF16" s="1249">
        <v>236.9</v>
      </c>
      <c r="CG16" s="1249">
        <v>235.5</v>
      </c>
      <c r="CH16" s="1249">
        <v>228.2</v>
      </c>
      <c r="CI16" s="1249">
        <v>216.1</v>
      </c>
      <c r="CJ16" s="1249">
        <v>218.3</v>
      </c>
      <c r="CK16" s="1249">
        <v>230.1</v>
      </c>
      <c r="CL16" s="1249">
        <v>211.3</v>
      </c>
      <c r="CM16" s="1249">
        <v>212.5</v>
      </c>
      <c r="CN16" s="1249">
        <v>212.8</v>
      </c>
      <c r="CO16" s="1249">
        <v>200.2</v>
      </c>
      <c r="CP16" s="1249">
        <v>191</v>
      </c>
      <c r="CQ16" s="1249">
        <v>189.7</v>
      </c>
      <c r="CR16" s="1249">
        <v>200.9</v>
      </c>
      <c r="CS16" s="1249" t="s">
        <v>1182</v>
      </c>
      <c r="CT16" s="1249">
        <v>217.6</v>
      </c>
      <c r="CU16" s="1249">
        <v>227.2</v>
      </c>
      <c r="CV16" s="1249">
        <v>212.4</v>
      </c>
      <c r="CW16" s="1249">
        <v>173.3</v>
      </c>
      <c r="CX16" s="1249">
        <v>177.7</v>
      </c>
      <c r="CY16" s="1249">
        <v>213.2</v>
      </c>
      <c r="CZ16" s="1249">
        <v>205.5</v>
      </c>
      <c r="DA16" s="1249">
        <v>212.1</v>
      </c>
      <c r="DB16" s="1249">
        <v>194.6</v>
      </c>
      <c r="DC16" s="1249">
        <v>191.8</v>
      </c>
      <c r="DD16" s="1249">
        <v>191.1</v>
      </c>
      <c r="DE16" s="1249">
        <v>186.8</v>
      </c>
      <c r="DF16" s="1249">
        <v>187.6</v>
      </c>
      <c r="DG16" s="1249">
        <v>221.1</v>
      </c>
      <c r="DH16" s="1249">
        <v>198.8</v>
      </c>
      <c r="DI16" s="1249">
        <v>200.9</v>
      </c>
      <c r="DJ16" s="1249">
        <v>200.5</v>
      </c>
      <c r="DK16" s="1249">
        <v>228.8</v>
      </c>
      <c r="DL16" s="1249">
        <v>229.6</v>
      </c>
      <c r="DM16" s="1249">
        <v>232.9</v>
      </c>
      <c r="DN16" s="1249">
        <v>231.3</v>
      </c>
      <c r="DO16" s="1249">
        <v>229.3</v>
      </c>
      <c r="DP16" s="1249">
        <v>181.6</v>
      </c>
      <c r="DQ16" s="1249">
        <v>209.6</v>
      </c>
      <c r="DR16" s="1249">
        <v>202.6</v>
      </c>
      <c r="DS16" s="1249">
        <v>213.7</v>
      </c>
      <c r="DT16" s="1249">
        <v>270.5</v>
      </c>
      <c r="DU16" s="1249">
        <v>208.4</v>
      </c>
      <c r="DV16" s="1249">
        <v>209.8</v>
      </c>
      <c r="DW16" s="1249">
        <v>203.6</v>
      </c>
      <c r="DX16" s="1249">
        <v>200.8</v>
      </c>
      <c r="DY16" s="1249">
        <v>247.9</v>
      </c>
      <c r="DZ16" s="1249">
        <v>180.6</v>
      </c>
      <c r="EA16" s="1249">
        <v>182</v>
      </c>
      <c r="EB16" s="1249">
        <v>179.8</v>
      </c>
      <c r="EC16" s="1249">
        <v>174.6</v>
      </c>
      <c r="ED16" s="1249">
        <v>179.6</v>
      </c>
      <c r="EE16" s="1249">
        <v>185.5</v>
      </c>
      <c r="EF16" s="1249">
        <v>202.4</v>
      </c>
      <c r="EG16" s="1249">
        <v>195</v>
      </c>
      <c r="EH16" s="1249">
        <v>190.1</v>
      </c>
      <c r="EI16" s="1249">
        <v>205.9</v>
      </c>
      <c r="EJ16" s="1249">
        <v>195.2</v>
      </c>
      <c r="EK16" s="1249">
        <v>189.3</v>
      </c>
      <c r="EL16" s="1249">
        <v>199.9</v>
      </c>
      <c r="EM16" s="1249">
        <v>190.6</v>
      </c>
      <c r="EN16" s="1249">
        <v>206.1</v>
      </c>
      <c r="EO16" s="1249">
        <v>197.9</v>
      </c>
      <c r="EP16" s="1249">
        <v>177.7</v>
      </c>
      <c r="EQ16" s="1249">
        <v>180.1</v>
      </c>
      <c r="ER16" s="1249">
        <v>172</v>
      </c>
      <c r="ES16" s="1249">
        <v>209.1</v>
      </c>
      <c r="ET16" s="1249">
        <v>209.2</v>
      </c>
      <c r="EU16" s="1249">
        <v>214.8</v>
      </c>
      <c r="EV16" s="1249">
        <v>199.7</v>
      </c>
      <c r="EW16" s="1249">
        <v>202.4</v>
      </c>
      <c r="EX16" s="1249">
        <v>238.2</v>
      </c>
      <c r="EY16" s="1249">
        <v>212.2</v>
      </c>
      <c r="EZ16" s="1249">
        <v>207.6</v>
      </c>
      <c r="FA16" s="1249">
        <v>207</v>
      </c>
      <c r="FB16" s="1249">
        <v>221.6</v>
      </c>
      <c r="FC16" s="1249">
        <v>176.8</v>
      </c>
      <c r="FD16" s="1249">
        <v>176.6</v>
      </c>
      <c r="FE16" s="1249">
        <v>174.7</v>
      </c>
      <c r="FF16" s="1249">
        <v>175.2</v>
      </c>
      <c r="FG16" s="1249">
        <v>177.4</v>
      </c>
      <c r="FH16" s="1249">
        <v>173.9</v>
      </c>
      <c r="FI16" s="1249">
        <v>181.9</v>
      </c>
      <c r="FJ16" s="1249">
        <v>181.8</v>
      </c>
      <c r="FK16" s="1249">
        <v>173.7</v>
      </c>
      <c r="FL16" s="1249">
        <v>171</v>
      </c>
      <c r="FM16" s="1249">
        <v>173.3</v>
      </c>
      <c r="FN16" s="1249">
        <v>178.3</v>
      </c>
      <c r="FO16" s="1249">
        <v>175.5</v>
      </c>
      <c r="FP16" s="1249">
        <v>177.9</v>
      </c>
      <c r="FQ16" s="1249">
        <v>172.8</v>
      </c>
      <c r="FR16" s="1249">
        <v>174.1</v>
      </c>
      <c r="FS16" s="1249">
        <v>180.5</v>
      </c>
      <c r="FT16" s="1249">
        <v>175.2</v>
      </c>
      <c r="FU16" s="1249">
        <v>172.6</v>
      </c>
      <c r="FV16" s="1249">
        <v>173.1</v>
      </c>
      <c r="FW16" s="1249">
        <v>170.3</v>
      </c>
      <c r="FX16" s="1249">
        <v>170.1</v>
      </c>
      <c r="FY16" s="1249">
        <v>179.4</v>
      </c>
      <c r="FZ16" s="1249">
        <v>184.7</v>
      </c>
      <c r="GA16" s="1249">
        <v>193.6</v>
      </c>
      <c r="GB16" s="1249">
        <v>190.2</v>
      </c>
      <c r="GC16" s="1249">
        <v>195.6</v>
      </c>
      <c r="GD16" s="1249">
        <v>178.3</v>
      </c>
      <c r="GE16" s="1249">
        <v>178.2</v>
      </c>
      <c r="GF16" s="1251">
        <f t="shared" si="2"/>
        <v>178.60000000000002</v>
      </c>
      <c r="GG16" s="1251">
        <f t="shared" si="1"/>
        <v>187.25</v>
      </c>
      <c r="GH16" s="1249">
        <v>178.9</v>
      </c>
      <c r="GI16" s="1249">
        <v>178</v>
      </c>
      <c r="GJ16" s="1249">
        <v>213.4</v>
      </c>
      <c r="GK16" s="1249">
        <v>195.1</v>
      </c>
      <c r="GL16" s="1249">
        <v>209.7</v>
      </c>
      <c r="GM16" s="1249">
        <v>204.2</v>
      </c>
      <c r="GN16" s="1249">
        <v>206.5</v>
      </c>
      <c r="GO16" s="1249">
        <v>207.4</v>
      </c>
      <c r="GP16" s="1249">
        <v>212.8</v>
      </c>
      <c r="GQ16" s="1249">
        <v>207.4</v>
      </c>
      <c r="GR16" s="1249">
        <v>214.4</v>
      </c>
      <c r="GS16" s="1249">
        <v>212.4</v>
      </c>
      <c r="GT16" s="1249">
        <v>178.6</v>
      </c>
      <c r="GU16" s="1249">
        <v>229.1</v>
      </c>
      <c r="GV16" s="1249">
        <v>229.4</v>
      </c>
      <c r="GW16" s="1249">
        <v>221.7</v>
      </c>
      <c r="GX16" s="1249">
        <v>221.3</v>
      </c>
      <c r="GY16" s="1249">
        <v>218.5</v>
      </c>
      <c r="GZ16" s="1249">
        <v>223.4</v>
      </c>
      <c r="HA16" s="1249">
        <v>218.9</v>
      </c>
      <c r="HB16" s="1249">
        <v>228.6</v>
      </c>
      <c r="HC16" s="1249">
        <v>219.3</v>
      </c>
      <c r="HD16" s="1249">
        <v>205.3</v>
      </c>
      <c r="HE16" s="759"/>
      <c r="HF16" s="759">
        <f t="shared" si="0"/>
        <v>270.5</v>
      </c>
    </row>
    <row r="17" spans="1:214" ht="22.15" customHeight="1">
      <c r="A17" s="1249">
        <v>2015</v>
      </c>
      <c r="B17" s="1249">
        <v>184.8</v>
      </c>
      <c r="C17" s="1249">
        <v>182.1</v>
      </c>
      <c r="D17" s="1249">
        <v>185.4</v>
      </c>
      <c r="E17" s="1249">
        <v>182.7</v>
      </c>
      <c r="F17" s="1249">
        <v>184.5</v>
      </c>
      <c r="G17" s="1249">
        <v>244.7</v>
      </c>
      <c r="H17" s="1255">
        <v>181</v>
      </c>
      <c r="I17" s="1249">
        <v>177.9</v>
      </c>
      <c r="J17" s="1249">
        <v>167.6</v>
      </c>
      <c r="K17" s="1249">
        <v>171.1</v>
      </c>
      <c r="L17" s="1249">
        <v>217.3</v>
      </c>
      <c r="M17" s="1249">
        <v>214.6</v>
      </c>
      <c r="N17" s="1249">
        <v>218.8</v>
      </c>
      <c r="O17" s="1249">
        <v>218.5</v>
      </c>
      <c r="P17" s="1249">
        <v>215.7</v>
      </c>
      <c r="Q17" s="1249">
        <v>217.1</v>
      </c>
      <c r="R17" s="1255">
        <v>221</v>
      </c>
      <c r="S17" s="1249">
        <v>213.1</v>
      </c>
      <c r="T17" s="1249">
        <v>250.2</v>
      </c>
      <c r="U17" s="1249">
        <v>215.7</v>
      </c>
      <c r="V17" s="1249">
        <v>222.8</v>
      </c>
      <c r="W17" s="1249">
        <v>230.2</v>
      </c>
      <c r="X17" s="1249">
        <v>185.1</v>
      </c>
      <c r="Y17" s="1249">
        <v>186.6</v>
      </c>
      <c r="Z17" s="1249">
        <v>183.5</v>
      </c>
      <c r="AA17" s="1249">
        <v>224.1</v>
      </c>
      <c r="AB17" s="1249">
        <v>223.3</v>
      </c>
      <c r="AC17" s="1249">
        <v>224.2</v>
      </c>
      <c r="AD17" s="1249">
        <v>222.8</v>
      </c>
      <c r="AE17" s="1249">
        <v>225</v>
      </c>
      <c r="AF17" s="1249">
        <v>230.2</v>
      </c>
      <c r="AG17" s="1249">
        <v>230.3</v>
      </c>
      <c r="AH17" s="1254">
        <v>223.8</v>
      </c>
      <c r="AI17" s="1249">
        <v>211.7</v>
      </c>
      <c r="AJ17" s="1249">
        <v>197.3</v>
      </c>
      <c r="AK17" s="1249">
        <v>176.1</v>
      </c>
      <c r="AL17" s="1249">
        <v>174.2</v>
      </c>
      <c r="AM17" s="1249">
        <v>178.1</v>
      </c>
      <c r="AN17" s="1249">
        <v>178.3</v>
      </c>
      <c r="AO17" s="1249">
        <v>172.5</v>
      </c>
      <c r="AP17" s="1249">
        <v>178.9</v>
      </c>
      <c r="AQ17" s="1249">
        <v>168.6</v>
      </c>
      <c r="AR17" s="1249">
        <v>178.3</v>
      </c>
      <c r="AS17" s="1249">
        <v>171.3</v>
      </c>
      <c r="AT17" s="1255">
        <v>170</v>
      </c>
      <c r="AU17" s="1249">
        <v>170.5</v>
      </c>
      <c r="AV17" s="1249">
        <v>250.5</v>
      </c>
      <c r="AW17" s="1249">
        <v>185.4</v>
      </c>
      <c r="AX17" s="1249">
        <v>185.3</v>
      </c>
      <c r="AY17" s="1249">
        <v>238.9</v>
      </c>
      <c r="AZ17" s="1255">
        <v>209</v>
      </c>
      <c r="BA17" s="1249">
        <v>238.7</v>
      </c>
      <c r="BB17" s="1249">
        <v>213.7</v>
      </c>
      <c r="BC17" s="1249">
        <v>225.3</v>
      </c>
      <c r="BD17" s="1249">
        <v>210.5</v>
      </c>
      <c r="BE17" s="1249">
        <v>186.4</v>
      </c>
      <c r="BF17" s="1249">
        <v>190.1</v>
      </c>
      <c r="BG17" s="1255">
        <v>183</v>
      </c>
      <c r="BH17" s="1249">
        <v>212.4</v>
      </c>
      <c r="BI17" s="1249">
        <v>189.6</v>
      </c>
      <c r="BJ17" s="1255">
        <v>186</v>
      </c>
      <c r="BK17" s="1249">
        <v>188.6</v>
      </c>
      <c r="BL17" s="1249">
        <v>190.6</v>
      </c>
      <c r="BM17" s="1249">
        <v>188.8</v>
      </c>
      <c r="BN17" s="1249">
        <v>196.9</v>
      </c>
      <c r="BO17" s="1255">
        <v>189</v>
      </c>
      <c r="BP17" s="1249">
        <v>179.1</v>
      </c>
      <c r="BQ17" s="1249">
        <v>177.8</v>
      </c>
      <c r="BR17" s="1249">
        <v>175.7</v>
      </c>
      <c r="BS17" s="1249">
        <v>175.1</v>
      </c>
      <c r="BT17" s="1249">
        <v>184.4</v>
      </c>
      <c r="BU17" s="1249">
        <v>185.9</v>
      </c>
      <c r="BV17" s="1249">
        <v>176.6</v>
      </c>
      <c r="BW17" s="1249">
        <v>175.4</v>
      </c>
      <c r="BX17" s="1249">
        <v>177.6</v>
      </c>
      <c r="BY17" s="1249">
        <v>170.9</v>
      </c>
      <c r="BZ17" s="1249">
        <v>193.7</v>
      </c>
      <c r="CA17" s="1249">
        <v>196.9</v>
      </c>
      <c r="CB17" s="1249">
        <v>189.2</v>
      </c>
      <c r="CC17" s="1249">
        <v>240.7</v>
      </c>
      <c r="CD17" s="1249">
        <v>228.3</v>
      </c>
      <c r="CE17" s="1249">
        <v>228.2</v>
      </c>
      <c r="CF17" s="1249">
        <v>234.5</v>
      </c>
      <c r="CG17" s="1249">
        <v>233.2</v>
      </c>
      <c r="CH17" s="1249">
        <v>227.4</v>
      </c>
      <c r="CI17" s="1249">
        <v>212.8</v>
      </c>
      <c r="CJ17" s="1249">
        <v>214.6</v>
      </c>
      <c r="CK17" s="1249">
        <v>226.8</v>
      </c>
      <c r="CL17" s="1249">
        <v>209.8</v>
      </c>
      <c r="CM17" s="1249">
        <v>211.5</v>
      </c>
      <c r="CN17" s="1249">
        <v>211.8</v>
      </c>
      <c r="CO17" s="1249">
        <v>198.9</v>
      </c>
      <c r="CP17" s="1249">
        <v>191.2</v>
      </c>
      <c r="CQ17" s="1249">
        <v>190.4</v>
      </c>
      <c r="CR17" s="1249">
        <v>199.6</v>
      </c>
      <c r="CS17" s="1249">
        <v>194.1</v>
      </c>
      <c r="CT17" s="1249">
        <v>212.9</v>
      </c>
      <c r="CU17" s="1255">
        <v>222</v>
      </c>
      <c r="CV17" s="1249">
        <v>209.1</v>
      </c>
      <c r="CW17" s="1249">
        <v>167.3</v>
      </c>
      <c r="CX17" s="1249">
        <v>174.2</v>
      </c>
      <c r="CY17" s="1249">
        <v>210</v>
      </c>
      <c r="CZ17" s="1249">
        <v>202.3</v>
      </c>
      <c r="DA17" s="1249">
        <v>210.1</v>
      </c>
      <c r="DB17" s="1249">
        <v>191.8</v>
      </c>
      <c r="DC17" s="1249">
        <v>188.1</v>
      </c>
      <c r="DD17" s="1249">
        <v>188.4</v>
      </c>
      <c r="DE17" s="1249">
        <v>183.7</v>
      </c>
      <c r="DF17" s="1249">
        <v>184.7</v>
      </c>
      <c r="DG17" s="1249">
        <v>215.5</v>
      </c>
      <c r="DH17" s="1249">
        <v>194.9</v>
      </c>
      <c r="DI17" s="1249">
        <v>198.7</v>
      </c>
      <c r="DJ17" s="1249">
        <v>197.8</v>
      </c>
      <c r="DK17" s="1249">
        <v>224.5</v>
      </c>
      <c r="DL17" s="1249">
        <v>226.1</v>
      </c>
      <c r="DM17" s="1249">
        <v>230.1</v>
      </c>
      <c r="DN17" s="1249">
        <v>228.5</v>
      </c>
      <c r="DO17" s="1249">
        <v>227.6</v>
      </c>
      <c r="DP17" s="1249">
        <v>178.3</v>
      </c>
      <c r="DQ17" s="1249">
        <v>208.1</v>
      </c>
      <c r="DR17" s="1249">
        <v>202.4</v>
      </c>
      <c r="DS17" s="1249">
        <v>209.6</v>
      </c>
      <c r="DT17" s="1255">
        <v>268</v>
      </c>
      <c r="DU17" s="1249">
        <v>203.5</v>
      </c>
      <c r="DV17" s="1249">
        <v>207.4</v>
      </c>
      <c r="DW17" s="1249">
        <v>200.9</v>
      </c>
      <c r="DX17" s="1249">
        <v>198.1</v>
      </c>
      <c r="DY17" s="1249">
        <v>243.4</v>
      </c>
      <c r="DZ17" s="1249">
        <v>173.1</v>
      </c>
      <c r="EA17" s="1249">
        <v>172.3</v>
      </c>
      <c r="EB17" s="1249">
        <v>170.5</v>
      </c>
      <c r="EC17" s="1249">
        <v>167.6</v>
      </c>
      <c r="ED17" s="1249">
        <v>170.6</v>
      </c>
      <c r="EE17" s="1255">
        <v>181</v>
      </c>
      <c r="EF17" s="1255">
        <v>199.1</v>
      </c>
      <c r="EG17" s="1249">
        <v>191.1</v>
      </c>
      <c r="EH17" s="1249">
        <v>188.1</v>
      </c>
      <c r="EI17" s="1249">
        <v>203.4</v>
      </c>
      <c r="EJ17" s="1249">
        <v>192.4</v>
      </c>
      <c r="EK17" s="1249">
        <v>187.9</v>
      </c>
      <c r="EL17" s="1249">
        <v>196.7</v>
      </c>
      <c r="EM17" s="1249">
        <v>188.1</v>
      </c>
      <c r="EN17" s="1255">
        <v>201</v>
      </c>
      <c r="EO17" s="1249">
        <v>193.3</v>
      </c>
      <c r="EP17" s="1249">
        <v>175.1</v>
      </c>
      <c r="EQ17" s="1249">
        <v>177.1</v>
      </c>
      <c r="ER17" s="1255">
        <v>170</v>
      </c>
      <c r="ES17" s="1249">
        <v>203.1</v>
      </c>
      <c r="ET17" s="1249">
        <v>204.3</v>
      </c>
      <c r="EU17" s="1249">
        <v>209.8</v>
      </c>
      <c r="EV17" s="1249">
        <v>194.5</v>
      </c>
      <c r="EW17" s="1249">
        <v>200.3</v>
      </c>
      <c r="EX17" s="1249">
        <v>234.7</v>
      </c>
      <c r="EY17" s="1249">
        <v>209.5</v>
      </c>
      <c r="EZ17" s="1249">
        <v>204.2</v>
      </c>
      <c r="FA17" s="1249">
        <v>201.7</v>
      </c>
      <c r="FB17" s="1249">
        <v>219.9</v>
      </c>
      <c r="FC17" s="1254">
        <v>171.3</v>
      </c>
      <c r="FD17" s="1249">
        <v>171.9</v>
      </c>
      <c r="FE17" s="1249">
        <v>167.7</v>
      </c>
      <c r="FF17" s="1255">
        <v>168</v>
      </c>
      <c r="FG17" s="1249">
        <v>174.3</v>
      </c>
      <c r="FH17" s="1255">
        <v>171</v>
      </c>
      <c r="FI17" s="1249">
        <v>177.5</v>
      </c>
      <c r="FJ17" s="1249">
        <v>179.9</v>
      </c>
      <c r="FK17" s="1249">
        <v>170.8</v>
      </c>
      <c r="FL17" s="1249">
        <v>170.7</v>
      </c>
      <c r="FM17" s="1249">
        <v>172.3</v>
      </c>
      <c r="FN17" s="1255">
        <v>174</v>
      </c>
      <c r="FO17" s="1249">
        <v>172.8</v>
      </c>
      <c r="FP17" s="1249">
        <v>174.4</v>
      </c>
      <c r="FQ17" s="1249">
        <v>168.8</v>
      </c>
      <c r="FR17" s="1249">
        <v>172.5</v>
      </c>
      <c r="FS17" s="1249">
        <v>176.4</v>
      </c>
      <c r="FT17" s="1249">
        <v>173.3</v>
      </c>
      <c r="FU17" s="1249">
        <v>171.5</v>
      </c>
      <c r="FV17" s="1249">
        <v>171.8</v>
      </c>
      <c r="FW17" s="1254">
        <v>167.3</v>
      </c>
      <c r="FX17" s="1255">
        <v>169</v>
      </c>
      <c r="FY17" s="1249">
        <v>177.1</v>
      </c>
      <c r="FZ17" s="1249">
        <v>182.1</v>
      </c>
      <c r="GA17" s="1249">
        <v>191.6</v>
      </c>
      <c r="GB17" s="1249">
        <v>188.5</v>
      </c>
      <c r="GC17" s="1249">
        <v>192.5</v>
      </c>
      <c r="GD17" s="1249">
        <v>175.8</v>
      </c>
      <c r="GE17" s="1249">
        <v>177.4</v>
      </c>
      <c r="GF17" s="1251">
        <f t="shared" si="2"/>
        <v>176.5</v>
      </c>
      <c r="GG17" s="1251">
        <f t="shared" si="1"/>
        <v>184.85</v>
      </c>
      <c r="GH17" s="1249" t="s">
        <v>1183</v>
      </c>
      <c r="GI17" s="1249">
        <v>175.3</v>
      </c>
      <c r="GJ17" s="1249">
        <v>209.9</v>
      </c>
      <c r="GK17" s="1249">
        <v>193.1</v>
      </c>
      <c r="GL17" s="1249">
        <v>207.2</v>
      </c>
      <c r="GM17" s="1249">
        <v>199.9</v>
      </c>
      <c r="GN17" s="1249">
        <v>201.3</v>
      </c>
      <c r="GO17" s="1249">
        <v>200.8</v>
      </c>
      <c r="GP17" s="1249">
        <v>205.4</v>
      </c>
      <c r="GQ17" s="1255">
        <v>202</v>
      </c>
      <c r="GR17" s="1249">
        <v>209.4</v>
      </c>
      <c r="GS17" s="1249">
        <v>205.1</v>
      </c>
      <c r="GT17" s="1249">
        <v>175.4</v>
      </c>
      <c r="GU17" s="1249">
        <v>226.6</v>
      </c>
      <c r="GV17" s="1249">
        <v>226.3</v>
      </c>
      <c r="GW17" s="1249">
        <v>221.2</v>
      </c>
      <c r="GX17" s="1255">
        <v>217</v>
      </c>
      <c r="GY17" s="1249">
        <v>220.4</v>
      </c>
      <c r="GZ17" s="1249">
        <v>220.4</v>
      </c>
      <c r="HA17" s="1249">
        <v>220.4</v>
      </c>
      <c r="HB17" s="1249">
        <v>225.9</v>
      </c>
      <c r="HC17" s="1249">
        <v>217.1</v>
      </c>
      <c r="HD17" s="1249">
        <v>204.1</v>
      </c>
      <c r="HE17" s="759"/>
      <c r="HF17" s="759">
        <f t="shared" si="0"/>
        <v>268</v>
      </c>
    </row>
    <row r="18" spans="1:214" ht="22.15" customHeight="1">
      <c r="A18" s="1249">
        <v>2014</v>
      </c>
      <c r="B18" s="1256">
        <v>180.3</v>
      </c>
      <c r="C18" s="1256">
        <v>175.8</v>
      </c>
      <c r="D18" s="1256">
        <v>170.6</v>
      </c>
      <c r="E18" s="1256">
        <v>163.1</v>
      </c>
      <c r="F18" s="1256">
        <v>165.9</v>
      </c>
      <c r="G18" s="1257">
        <v>241</v>
      </c>
      <c r="H18" s="1257">
        <v>180</v>
      </c>
      <c r="I18" s="1257">
        <v>177</v>
      </c>
      <c r="J18" s="1257">
        <v>165.1</v>
      </c>
      <c r="K18" s="1257">
        <v>168.4</v>
      </c>
      <c r="L18" s="1257">
        <v>214.2</v>
      </c>
      <c r="M18" s="1257">
        <v>215.2</v>
      </c>
      <c r="N18" s="1257">
        <v>217</v>
      </c>
      <c r="O18" s="1257">
        <v>217.3</v>
      </c>
      <c r="P18" s="1257">
        <v>214.8</v>
      </c>
      <c r="Q18" s="1257">
        <v>214.1</v>
      </c>
      <c r="R18" s="1257">
        <v>221.5</v>
      </c>
      <c r="S18" s="1257">
        <v>211.4</v>
      </c>
      <c r="T18" s="1257">
        <v>248</v>
      </c>
      <c r="U18" s="1257">
        <v>214.7</v>
      </c>
      <c r="V18" s="1257">
        <v>218.4</v>
      </c>
      <c r="W18" s="1257">
        <v>227.9</v>
      </c>
      <c r="X18" s="1257">
        <v>187.8</v>
      </c>
      <c r="Y18" s="1257">
        <v>189.1</v>
      </c>
      <c r="Z18" s="1257">
        <v>184.7</v>
      </c>
      <c r="AA18" s="1257">
        <v>223.8</v>
      </c>
      <c r="AB18" s="1257">
        <v>222.8</v>
      </c>
      <c r="AC18" s="1257">
        <v>223.9</v>
      </c>
      <c r="AD18" s="1257">
        <v>222.4</v>
      </c>
      <c r="AE18" s="1257">
        <v>224.1</v>
      </c>
      <c r="AF18" s="1257">
        <v>230.3</v>
      </c>
      <c r="AG18" s="1257">
        <v>230.5</v>
      </c>
      <c r="AH18" s="1257">
        <v>223.2</v>
      </c>
      <c r="AI18" s="1257">
        <v>210.2</v>
      </c>
      <c r="AJ18" s="1257">
        <v>197</v>
      </c>
      <c r="AK18" s="1257">
        <v>176.5</v>
      </c>
      <c r="AL18" s="1257">
        <v>171</v>
      </c>
      <c r="AM18" s="1257">
        <v>178.4</v>
      </c>
      <c r="AN18" s="1257">
        <v>176.5</v>
      </c>
      <c r="AO18" s="1257">
        <v>164.4</v>
      </c>
      <c r="AP18" s="1257">
        <v>183.2</v>
      </c>
      <c r="AQ18" s="1257">
        <v>166.6</v>
      </c>
      <c r="AR18" s="1257">
        <v>177.5</v>
      </c>
      <c r="AS18" s="1257">
        <v>170.2</v>
      </c>
      <c r="AT18" s="1257">
        <v>168.2</v>
      </c>
      <c r="AU18" s="1257">
        <v>167.2</v>
      </c>
      <c r="AV18" s="1257">
        <v>239.7</v>
      </c>
      <c r="AW18" s="1257">
        <v>184.1</v>
      </c>
      <c r="AX18" s="1257">
        <v>184.4</v>
      </c>
      <c r="AY18" s="1257">
        <v>238.1</v>
      </c>
      <c r="AZ18" s="1257">
        <v>206</v>
      </c>
      <c r="BA18" s="1257">
        <v>236.8</v>
      </c>
      <c r="BB18" s="1257">
        <v>212.5</v>
      </c>
      <c r="BC18" s="1257">
        <v>224.4</v>
      </c>
      <c r="BD18" s="1257">
        <v>208.2</v>
      </c>
      <c r="BE18" s="1257">
        <v>184.5</v>
      </c>
      <c r="BF18" s="1257">
        <v>188.1</v>
      </c>
      <c r="BG18" s="1257">
        <v>180.8</v>
      </c>
      <c r="BH18" s="1257">
        <v>210.1</v>
      </c>
      <c r="BI18" s="1257">
        <v>188.4</v>
      </c>
      <c r="BJ18" s="1257">
        <v>185</v>
      </c>
      <c r="BK18" s="1257">
        <v>185.5</v>
      </c>
      <c r="BL18" s="1257">
        <v>189.2</v>
      </c>
      <c r="BM18" s="1257">
        <v>188.3</v>
      </c>
      <c r="BN18" s="1257">
        <v>195.9</v>
      </c>
      <c r="BO18" s="1257">
        <v>188.5</v>
      </c>
      <c r="BP18" s="1257">
        <v>178.9</v>
      </c>
      <c r="BQ18" s="1257">
        <v>177.4</v>
      </c>
      <c r="BR18" s="1257">
        <v>173.6</v>
      </c>
      <c r="BS18" s="1257">
        <v>173.7</v>
      </c>
      <c r="BT18" s="1257">
        <v>183.7</v>
      </c>
      <c r="BU18" s="1257">
        <v>186.1</v>
      </c>
      <c r="BV18" s="1257">
        <v>171.3</v>
      </c>
      <c r="BW18" s="1257">
        <v>170.9</v>
      </c>
      <c r="BX18" s="1257">
        <v>177.5</v>
      </c>
      <c r="BY18" s="1257">
        <v>167.7</v>
      </c>
      <c r="BZ18" s="1257">
        <v>192.4</v>
      </c>
      <c r="CA18" s="1257">
        <v>195.4</v>
      </c>
      <c r="CB18" s="1257">
        <v>187.6</v>
      </c>
      <c r="CC18" s="1257">
        <v>239.1</v>
      </c>
      <c r="CD18" s="1257">
        <v>229.1</v>
      </c>
      <c r="CE18" s="1257">
        <v>229.3</v>
      </c>
      <c r="CF18" s="1257">
        <v>234.8</v>
      </c>
      <c r="CG18" s="1257">
        <v>233.9</v>
      </c>
      <c r="CH18" s="1257">
        <v>228.5</v>
      </c>
      <c r="CI18" s="1257">
        <v>213.3</v>
      </c>
      <c r="CJ18" s="1257">
        <v>214.8</v>
      </c>
      <c r="CK18" s="1257">
        <v>227.3</v>
      </c>
      <c r="CL18" s="1257">
        <v>206.1</v>
      </c>
      <c r="CM18" s="1257">
        <v>208.4</v>
      </c>
      <c r="CN18" s="1257">
        <v>208.7</v>
      </c>
      <c r="CO18" s="1257">
        <v>196</v>
      </c>
      <c r="CP18" s="1257">
        <v>187.9</v>
      </c>
      <c r="CQ18" s="1257">
        <v>188.4</v>
      </c>
      <c r="CR18" s="1257">
        <v>195.7</v>
      </c>
      <c r="CS18" s="1257">
        <v>191.7</v>
      </c>
      <c r="CT18" s="1257">
        <v>211.1</v>
      </c>
      <c r="CU18" s="1257">
        <v>220.7</v>
      </c>
      <c r="CV18" s="1257">
        <v>207.5</v>
      </c>
      <c r="CW18" s="1257">
        <v>164.6</v>
      </c>
      <c r="CX18" s="1257">
        <v>169.8</v>
      </c>
      <c r="CY18" s="1257">
        <v>210.8</v>
      </c>
      <c r="CZ18" s="1257">
        <v>199.3</v>
      </c>
      <c r="DA18" s="1257">
        <v>208.6</v>
      </c>
      <c r="DB18" s="1257">
        <v>189.5</v>
      </c>
      <c r="DC18" s="1257">
        <v>185.4</v>
      </c>
      <c r="DD18" s="1257">
        <v>186.3</v>
      </c>
      <c r="DE18" s="1257">
        <v>181.1</v>
      </c>
      <c r="DF18" s="1257">
        <v>183.7</v>
      </c>
      <c r="DG18" s="1257">
        <v>210.9</v>
      </c>
      <c r="DH18" s="1257">
        <v>195.7</v>
      </c>
      <c r="DI18" s="1257">
        <v>198.8</v>
      </c>
      <c r="DJ18" s="1257">
        <v>197.3</v>
      </c>
      <c r="DK18" s="1257">
        <v>224.6</v>
      </c>
      <c r="DL18" s="1257">
        <v>226.6</v>
      </c>
      <c r="DM18" s="1257">
        <v>230.6</v>
      </c>
      <c r="DN18" s="1257">
        <v>227.8</v>
      </c>
      <c r="DO18" s="1257">
        <v>226.6</v>
      </c>
      <c r="DP18" s="1257">
        <v>178</v>
      </c>
      <c r="DQ18" s="1257">
        <v>205.1</v>
      </c>
      <c r="DR18" s="1257">
        <v>202.4</v>
      </c>
      <c r="DS18" s="1257">
        <v>207.8</v>
      </c>
      <c r="DT18" s="1257">
        <v>267.7</v>
      </c>
      <c r="DU18" s="1257">
        <v>202.2</v>
      </c>
      <c r="DV18" s="1257">
        <v>204.2</v>
      </c>
      <c r="DW18" s="1257">
        <v>198.8</v>
      </c>
      <c r="DX18" s="1257">
        <v>196.4</v>
      </c>
      <c r="DY18" s="1257">
        <v>245.6</v>
      </c>
      <c r="DZ18" s="1257">
        <v>165.5</v>
      </c>
      <c r="EA18" s="1257">
        <v>165.2</v>
      </c>
      <c r="EB18" s="1257">
        <v>163.9</v>
      </c>
      <c r="EC18" s="1257">
        <v>161.6</v>
      </c>
      <c r="ED18" s="1257">
        <v>164.3</v>
      </c>
      <c r="EE18" s="1257">
        <v>177.1</v>
      </c>
      <c r="EF18" s="1257">
        <v>199.2</v>
      </c>
      <c r="EG18" s="1257">
        <v>190.8</v>
      </c>
      <c r="EH18" s="1257">
        <v>188.1</v>
      </c>
      <c r="EI18" s="1257">
        <v>203.1</v>
      </c>
      <c r="EJ18" s="1257">
        <v>192.4</v>
      </c>
      <c r="EK18" s="1257">
        <v>185.8</v>
      </c>
      <c r="EL18" s="1257">
        <v>196.7</v>
      </c>
      <c r="EM18" s="1257">
        <v>187.2</v>
      </c>
      <c r="EN18" s="1257">
        <v>199.7</v>
      </c>
      <c r="EO18" s="1257">
        <v>193.8</v>
      </c>
      <c r="EP18" s="1257">
        <v>169.3</v>
      </c>
      <c r="EQ18" s="1257">
        <v>170.9</v>
      </c>
      <c r="ER18" s="1257">
        <v>166.7</v>
      </c>
      <c r="ES18" s="1257">
        <v>200.4</v>
      </c>
      <c r="ET18" s="1257">
        <v>201.4</v>
      </c>
      <c r="EU18" s="1257">
        <v>209</v>
      </c>
      <c r="EV18" s="1257">
        <v>191.4</v>
      </c>
      <c r="EW18" s="1257">
        <v>200.3</v>
      </c>
      <c r="EX18" s="1257">
        <v>232.1</v>
      </c>
      <c r="EY18" s="1257">
        <v>207.1</v>
      </c>
      <c r="EZ18" s="1257">
        <v>201.4</v>
      </c>
      <c r="FA18" s="1257">
        <v>201.4</v>
      </c>
      <c r="FB18" s="1257">
        <v>220.3</v>
      </c>
      <c r="FC18" s="1258">
        <v>171</v>
      </c>
      <c r="FD18" s="1257">
        <v>162.5</v>
      </c>
      <c r="FE18" s="1257">
        <v>168.6</v>
      </c>
      <c r="FF18" s="1257">
        <v>166.8</v>
      </c>
      <c r="FG18" s="1257">
        <v>174.1</v>
      </c>
      <c r="FH18" s="1257">
        <v>170.9</v>
      </c>
      <c r="FI18" s="1257">
        <v>176.5</v>
      </c>
      <c r="FJ18" s="1257">
        <v>178.2</v>
      </c>
      <c r="FK18" s="1257">
        <v>160.9</v>
      </c>
      <c r="FL18" s="1257">
        <v>167.2</v>
      </c>
      <c r="FM18" s="1257">
        <v>167.5</v>
      </c>
      <c r="FN18" s="1257">
        <v>165.2</v>
      </c>
      <c r="FO18" s="1257">
        <v>167.3</v>
      </c>
      <c r="FP18" s="1257">
        <v>172.4</v>
      </c>
      <c r="FQ18" s="1257">
        <v>156.19999999999999</v>
      </c>
      <c r="FR18" s="1257">
        <v>169.5</v>
      </c>
      <c r="FS18" s="1257">
        <v>176</v>
      </c>
      <c r="FT18" s="1257">
        <v>166.9</v>
      </c>
      <c r="FU18" s="1257">
        <v>159.19999999999999</v>
      </c>
      <c r="FV18" s="1257">
        <v>169.5</v>
      </c>
      <c r="FW18" s="1257">
        <v>161.69999999999999</v>
      </c>
      <c r="FX18" s="1257">
        <v>160.6</v>
      </c>
      <c r="FY18" s="1257">
        <v>174.2</v>
      </c>
      <c r="FZ18" s="1257">
        <v>177.1</v>
      </c>
      <c r="GA18" s="1257">
        <v>191.3</v>
      </c>
      <c r="GB18" s="1257">
        <v>188.6</v>
      </c>
      <c r="GC18" s="1256">
        <v>190.5</v>
      </c>
      <c r="GD18" s="1256">
        <v>174.4</v>
      </c>
      <c r="GE18" s="1256">
        <v>175.7</v>
      </c>
      <c r="GF18" s="1251">
        <f t="shared" si="2"/>
        <v>175.4</v>
      </c>
      <c r="GG18" s="1251">
        <f t="shared" si="1"/>
        <v>183.45</v>
      </c>
      <c r="GH18" s="1259">
        <v>176.4</v>
      </c>
      <c r="GI18" s="1256">
        <v>173.5</v>
      </c>
      <c r="GJ18" s="1256">
        <v>209.8</v>
      </c>
      <c r="GK18" s="1256">
        <v>190.8</v>
      </c>
      <c r="GL18" s="1256">
        <v>205.2</v>
      </c>
      <c r="GM18" s="1260">
        <v>197</v>
      </c>
      <c r="GN18" s="1256">
        <v>199.5</v>
      </c>
      <c r="GO18" s="1256">
        <v>198.9</v>
      </c>
      <c r="GP18" s="1256">
        <v>205.2</v>
      </c>
      <c r="GQ18" s="1256">
        <v>202.4</v>
      </c>
      <c r="GR18" s="1256">
        <v>210.2</v>
      </c>
      <c r="GS18" s="1256">
        <v>205.3</v>
      </c>
      <c r="GT18" s="1256">
        <v>173.6</v>
      </c>
      <c r="GU18" s="1256">
        <v>228.2</v>
      </c>
      <c r="GV18" s="1256">
        <v>229.1</v>
      </c>
      <c r="GW18" s="1256">
        <v>222.1</v>
      </c>
      <c r="GX18" s="1256">
        <v>218.9</v>
      </c>
      <c r="GY18" s="1256">
        <v>219.8</v>
      </c>
      <c r="GZ18" s="1256">
        <v>214.8</v>
      </c>
      <c r="HA18" s="1256">
        <v>218.3</v>
      </c>
      <c r="HB18" s="1256">
        <v>227.4</v>
      </c>
      <c r="HC18" s="1256">
        <v>218.8</v>
      </c>
      <c r="HD18" s="1256">
        <v>202.9</v>
      </c>
      <c r="HE18" s="759"/>
      <c r="HF18" s="759">
        <f t="shared" si="0"/>
        <v>267.7</v>
      </c>
    </row>
    <row r="19" spans="1:214" ht="22.15" customHeight="1">
      <c r="A19" s="1249">
        <v>2013</v>
      </c>
      <c r="B19" s="1261">
        <v>173.3</v>
      </c>
      <c r="C19" s="1261">
        <v>168.7</v>
      </c>
      <c r="D19" s="1261">
        <v>165.7</v>
      </c>
      <c r="E19" s="1261">
        <v>158.69999999999999</v>
      </c>
      <c r="F19" s="1261">
        <v>161.6</v>
      </c>
      <c r="G19" s="1261">
        <v>235.3</v>
      </c>
      <c r="H19" s="1261">
        <v>174.1</v>
      </c>
      <c r="I19" s="1261">
        <v>169.2</v>
      </c>
      <c r="J19" s="1261">
        <v>161.19999999999999</v>
      </c>
      <c r="K19" s="1261">
        <v>163.19999999999999</v>
      </c>
      <c r="L19" s="1261">
        <v>207</v>
      </c>
      <c r="M19" s="1261">
        <v>205.6</v>
      </c>
      <c r="N19" s="1261">
        <v>210.3</v>
      </c>
      <c r="O19" s="1261">
        <v>210.7</v>
      </c>
      <c r="P19" s="1261">
        <v>207.8</v>
      </c>
      <c r="Q19" s="1261">
        <v>207</v>
      </c>
      <c r="R19" s="1261">
        <v>215</v>
      </c>
      <c r="S19" s="1261">
        <v>203.2</v>
      </c>
      <c r="T19" s="1261">
        <v>241</v>
      </c>
      <c r="U19" s="1261">
        <v>207.9</v>
      </c>
      <c r="V19" s="1261">
        <v>211.8</v>
      </c>
      <c r="W19" s="1261">
        <v>222.2</v>
      </c>
      <c r="X19" s="1261">
        <v>180.7</v>
      </c>
      <c r="Y19" s="1261">
        <v>183.4</v>
      </c>
      <c r="Z19" s="1261">
        <v>180</v>
      </c>
      <c r="AA19" s="1261">
        <v>217.8</v>
      </c>
      <c r="AB19" s="1261">
        <v>217.2</v>
      </c>
      <c r="AC19" s="1261">
        <v>218.4</v>
      </c>
      <c r="AD19" s="1261">
        <v>216.8</v>
      </c>
      <c r="AE19" s="1261">
        <v>218.5</v>
      </c>
      <c r="AF19" s="1261">
        <v>223.1</v>
      </c>
      <c r="AG19" s="1261">
        <v>224.2</v>
      </c>
      <c r="AH19" s="1261">
        <v>217.3</v>
      </c>
      <c r="AI19" s="1261">
        <v>203.6</v>
      </c>
      <c r="AJ19" s="1261">
        <v>191.7</v>
      </c>
      <c r="AK19" s="1261">
        <v>173.2</v>
      </c>
      <c r="AL19" s="1261">
        <v>168.4</v>
      </c>
      <c r="AM19" s="1261">
        <v>175.8</v>
      </c>
      <c r="AN19" s="1261">
        <v>174.8</v>
      </c>
      <c r="AO19" s="1261">
        <v>160.80000000000001</v>
      </c>
      <c r="AP19" s="1261">
        <v>180.2</v>
      </c>
      <c r="AQ19" s="1261">
        <v>163.19999999999999</v>
      </c>
      <c r="AR19" s="1261">
        <v>173.3</v>
      </c>
      <c r="AS19" s="1261">
        <v>166.7</v>
      </c>
      <c r="AT19" s="1261">
        <v>164.9</v>
      </c>
      <c r="AU19" s="1261">
        <v>163.5</v>
      </c>
      <c r="AV19" s="1261">
        <v>231.5</v>
      </c>
      <c r="AW19" s="1261">
        <v>179.6</v>
      </c>
      <c r="AX19" s="1261">
        <v>179.9</v>
      </c>
      <c r="AY19" s="1261">
        <v>231.1</v>
      </c>
      <c r="AZ19" s="1261">
        <v>200.8</v>
      </c>
      <c r="BA19" s="1261">
        <v>228.7</v>
      </c>
      <c r="BB19" s="1261">
        <v>207.2</v>
      </c>
      <c r="BC19" s="1261">
        <v>217.2</v>
      </c>
      <c r="BD19" s="1261">
        <v>203.2</v>
      </c>
      <c r="BE19" s="1261">
        <v>177.8</v>
      </c>
      <c r="BF19" s="1261">
        <v>182.5</v>
      </c>
      <c r="BG19" s="1261">
        <v>175.9</v>
      </c>
      <c r="BH19" s="1261">
        <v>203.6</v>
      </c>
      <c r="BI19" s="1261">
        <v>182.7</v>
      </c>
      <c r="BJ19" s="1261">
        <v>179.3</v>
      </c>
      <c r="BK19" s="1261">
        <v>179.3</v>
      </c>
      <c r="BL19" s="1261">
        <v>182.6</v>
      </c>
      <c r="BM19" s="1261">
        <v>183.4</v>
      </c>
      <c r="BN19" s="1261">
        <v>190.8</v>
      </c>
      <c r="BO19" s="1261">
        <v>181.8</v>
      </c>
      <c r="BP19" s="1261">
        <v>173.2</v>
      </c>
      <c r="BQ19" s="1261">
        <v>171.3</v>
      </c>
      <c r="BR19" s="1261">
        <v>168.8</v>
      </c>
      <c r="BS19" s="1261">
        <v>167.3</v>
      </c>
      <c r="BT19" s="1261">
        <v>179.1</v>
      </c>
      <c r="BU19" s="1261">
        <v>182.4</v>
      </c>
      <c r="BV19" s="1261">
        <v>166.3</v>
      </c>
      <c r="BW19" s="1261">
        <v>166.2</v>
      </c>
      <c r="BX19" s="1261">
        <v>173.1</v>
      </c>
      <c r="BY19" s="1261">
        <v>159</v>
      </c>
      <c r="BZ19" s="1261">
        <v>187.9</v>
      </c>
      <c r="CA19" s="1261">
        <v>189.5</v>
      </c>
      <c r="CB19" s="1261">
        <v>183.2</v>
      </c>
      <c r="CC19" s="1261">
        <v>232.9</v>
      </c>
      <c r="CD19" s="1261">
        <v>221.6</v>
      </c>
      <c r="CE19" s="1261">
        <v>221.8</v>
      </c>
      <c r="CF19" s="1261">
        <v>225.3</v>
      </c>
      <c r="CG19" s="1261">
        <v>223.4</v>
      </c>
      <c r="CH19" s="1261">
        <v>221.1</v>
      </c>
      <c r="CI19" s="1261">
        <v>205.9</v>
      </c>
      <c r="CJ19" s="1261">
        <v>206.5</v>
      </c>
      <c r="CK19" s="1261">
        <v>219.3</v>
      </c>
      <c r="CL19" s="1261">
        <v>201.2</v>
      </c>
      <c r="CM19" s="1261">
        <v>202.4</v>
      </c>
      <c r="CN19" s="1261">
        <v>203.1</v>
      </c>
      <c r="CO19" s="1261">
        <v>190.6</v>
      </c>
      <c r="CP19" s="1261">
        <v>182.4</v>
      </c>
      <c r="CQ19" s="1261">
        <v>182.4</v>
      </c>
      <c r="CR19" s="1261">
        <v>190.2</v>
      </c>
      <c r="CS19" s="1261">
        <v>186.5</v>
      </c>
      <c r="CT19" s="1261">
        <v>205.1</v>
      </c>
      <c r="CU19" s="1261">
        <v>216.3</v>
      </c>
      <c r="CV19" s="1261">
        <v>201.4</v>
      </c>
      <c r="CW19" s="1261">
        <v>160.9</v>
      </c>
      <c r="CX19" s="1261">
        <v>164.3</v>
      </c>
      <c r="CY19" s="1261">
        <v>204.7</v>
      </c>
      <c r="CZ19" s="1261">
        <v>193.1</v>
      </c>
      <c r="DA19" s="1261">
        <v>202.4</v>
      </c>
      <c r="DB19" s="1261">
        <v>181.6</v>
      </c>
      <c r="DC19" s="1261">
        <v>180.5</v>
      </c>
      <c r="DD19" s="1261">
        <v>181.1</v>
      </c>
      <c r="DE19" s="1261">
        <v>175.5</v>
      </c>
      <c r="DF19" s="1261">
        <v>180.6</v>
      </c>
      <c r="DG19" s="1261">
        <v>206.8</v>
      </c>
      <c r="DH19" s="1261">
        <v>190.4</v>
      </c>
      <c r="DI19" s="1261">
        <v>193.8</v>
      </c>
      <c r="DJ19" s="1261">
        <v>192.5</v>
      </c>
      <c r="DK19" s="1261">
        <v>217.7</v>
      </c>
      <c r="DL19" s="1261">
        <v>219.3</v>
      </c>
      <c r="DM19" s="1261">
        <v>223.6</v>
      </c>
      <c r="DN19" s="1261">
        <v>221.2</v>
      </c>
      <c r="DO19" s="1261">
        <v>218.7</v>
      </c>
      <c r="DP19" s="1261">
        <v>173.6</v>
      </c>
      <c r="DQ19" s="1261">
        <v>195.3</v>
      </c>
      <c r="DR19" s="1261">
        <v>195.5</v>
      </c>
      <c r="DS19" s="1261">
        <v>200.7</v>
      </c>
      <c r="DT19" s="1261">
        <v>259.39999999999998</v>
      </c>
      <c r="DU19" s="1261">
        <v>194.3</v>
      </c>
      <c r="DV19" s="1261">
        <v>195.5</v>
      </c>
      <c r="DW19" s="1261">
        <v>193.6</v>
      </c>
      <c r="DX19" s="1261">
        <v>188.5</v>
      </c>
      <c r="DY19" s="1261">
        <v>230</v>
      </c>
      <c r="DZ19" s="1261">
        <v>159.6</v>
      </c>
      <c r="EA19" s="1261">
        <v>158.4</v>
      </c>
      <c r="EB19" s="1261">
        <v>158.69999999999999</v>
      </c>
      <c r="EC19" s="1261">
        <v>157.5</v>
      </c>
      <c r="ED19" s="1261">
        <v>159.1</v>
      </c>
      <c r="EE19" s="1261">
        <v>169.6</v>
      </c>
      <c r="EF19" s="1261">
        <v>191.8</v>
      </c>
      <c r="EG19" s="1261">
        <v>183.9</v>
      </c>
      <c r="EH19" s="1261">
        <v>181.9</v>
      </c>
      <c r="EI19" s="1261">
        <v>195.5</v>
      </c>
      <c r="EJ19" s="1261">
        <v>187.1</v>
      </c>
      <c r="EK19" s="1261">
        <v>180.7</v>
      </c>
      <c r="EL19" s="1261">
        <v>187.6</v>
      </c>
      <c r="EM19" s="1261">
        <v>181.5</v>
      </c>
      <c r="EN19" s="1261">
        <v>193.5</v>
      </c>
      <c r="EO19" s="1261">
        <v>186.5</v>
      </c>
      <c r="EP19" s="1261">
        <v>162.69999999999999</v>
      </c>
      <c r="EQ19" s="1261">
        <v>165.5</v>
      </c>
      <c r="ER19" s="1261">
        <v>161.69999999999999</v>
      </c>
      <c r="ES19" s="1261">
        <v>194.7</v>
      </c>
      <c r="ET19" s="1261">
        <v>195.6</v>
      </c>
      <c r="EU19" s="1261">
        <v>203.2</v>
      </c>
      <c r="EV19" s="1261">
        <v>187.2</v>
      </c>
      <c r="EW19" s="1261">
        <v>192.5</v>
      </c>
      <c r="EX19" s="1261">
        <v>223.6</v>
      </c>
      <c r="EY19" s="1261">
        <v>201.4</v>
      </c>
      <c r="EZ19" s="1261">
        <v>196.1</v>
      </c>
      <c r="FA19" s="1261">
        <v>196</v>
      </c>
      <c r="FB19" s="1261">
        <v>213.4</v>
      </c>
      <c r="FC19" s="1261">
        <v>166.3</v>
      </c>
      <c r="FD19" s="1261">
        <v>157.9</v>
      </c>
      <c r="FE19" s="1261">
        <v>159.6</v>
      </c>
      <c r="FF19" s="1261">
        <v>161.19999999999999</v>
      </c>
      <c r="FG19" s="1261">
        <v>167.4</v>
      </c>
      <c r="FH19" s="1261">
        <v>159.30000000000001</v>
      </c>
      <c r="FI19" s="1261">
        <v>169.3</v>
      </c>
      <c r="FJ19" s="1261">
        <v>172.8</v>
      </c>
      <c r="FK19" s="1261">
        <v>155.19999999999999</v>
      </c>
      <c r="FL19" s="1261">
        <v>161.69999999999999</v>
      </c>
      <c r="FM19" s="1261">
        <v>158.69999999999999</v>
      </c>
      <c r="FN19" s="1261">
        <v>160.19999999999999</v>
      </c>
      <c r="FO19" s="1261">
        <v>157.69999999999999</v>
      </c>
      <c r="FP19" s="1261">
        <v>167.4</v>
      </c>
      <c r="FQ19" s="1261">
        <v>151.19999999999999</v>
      </c>
      <c r="FR19" s="1261">
        <v>161.69999999999999</v>
      </c>
      <c r="FS19" s="1261">
        <v>169.4</v>
      </c>
      <c r="FT19" s="1261">
        <v>159.30000000000001</v>
      </c>
      <c r="FU19" s="1261">
        <v>151.5</v>
      </c>
      <c r="FV19" s="1261">
        <v>164.3</v>
      </c>
      <c r="FW19" s="1261">
        <v>156.1</v>
      </c>
      <c r="FX19" s="1261">
        <v>155.9</v>
      </c>
      <c r="FY19" s="1261">
        <v>167.7</v>
      </c>
      <c r="FZ19" s="1261">
        <v>171.1</v>
      </c>
      <c r="GA19" s="1261">
        <v>178.7</v>
      </c>
      <c r="GB19" s="1261">
        <v>176.6</v>
      </c>
      <c r="GC19" s="1261">
        <v>185</v>
      </c>
      <c r="GD19" s="1261">
        <v>170</v>
      </c>
      <c r="GE19" s="1261">
        <v>171.5</v>
      </c>
      <c r="GF19" s="1251">
        <f t="shared" si="2"/>
        <v>170.35</v>
      </c>
      <c r="GG19" s="1251">
        <f t="shared" si="1"/>
        <v>177.85</v>
      </c>
      <c r="GH19" s="1261">
        <v>170.7</v>
      </c>
      <c r="GI19" s="1261">
        <v>168.3</v>
      </c>
      <c r="GJ19" s="1262">
        <v>203.4</v>
      </c>
      <c r="GK19" s="1261">
        <v>184.3</v>
      </c>
      <c r="GL19" s="1261">
        <v>199.1</v>
      </c>
      <c r="GM19" s="1261">
        <v>187.2</v>
      </c>
      <c r="GN19" s="1261">
        <v>193.2</v>
      </c>
      <c r="GO19" s="1261">
        <v>193.9</v>
      </c>
      <c r="GP19" s="1261">
        <v>201.2</v>
      </c>
      <c r="GQ19" s="1261">
        <v>197.8</v>
      </c>
      <c r="GR19" s="1261">
        <v>204.6</v>
      </c>
      <c r="GS19" s="1261">
        <v>200.5</v>
      </c>
      <c r="GT19" s="1261">
        <v>167.6</v>
      </c>
      <c r="GU19" s="1261">
        <v>222.7</v>
      </c>
      <c r="GV19" s="1261">
        <v>223.3</v>
      </c>
      <c r="GW19" s="1261">
        <v>216</v>
      </c>
      <c r="GX19" s="1261">
        <v>213.7</v>
      </c>
      <c r="GY19" s="1261">
        <v>214.5</v>
      </c>
      <c r="GZ19" s="1261">
        <v>214.1</v>
      </c>
      <c r="HA19" s="1261">
        <v>212.6</v>
      </c>
      <c r="HB19" s="1261">
        <v>220.9</v>
      </c>
      <c r="HC19" s="1261">
        <v>216.2</v>
      </c>
      <c r="HD19" s="1261">
        <v>200.2</v>
      </c>
      <c r="HE19" s="759"/>
      <c r="HF19" s="759">
        <f t="shared" si="0"/>
        <v>259.39999999999998</v>
      </c>
    </row>
    <row r="20" spans="1:214" ht="22.15" customHeight="1">
      <c r="A20" s="1249">
        <v>2012</v>
      </c>
      <c r="B20" s="1261">
        <v>169.1</v>
      </c>
      <c r="C20" s="1261">
        <v>162.69999999999999</v>
      </c>
      <c r="D20" s="1261">
        <v>163.19999999999999</v>
      </c>
      <c r="E20" s="1261">
        <v>153.80000000000001</v>
      </c>
      <c r="F20" s="1261">
        <v>154.6</v>
      </c>
      <c r="G20" s="1261">
        <v>232.5</v>
      </c>
      <c r="H20" s="1261">
        <v>172.2</v>
      </c>
      <c r="I20" s="1261">
        <v>166.4</v>
      </c>
      <c r="J20" s="1261">
        <v>158.69999999999999</v>
      </c>
      <c r="K20" s="1261">
        <v>161</v>
      </c>
      <c r="L20" s="1261">
        <v>204.1</v>
      </c>
      <c r="M20" s="1261">
        <v>202.9</v>
      </c>
      <c r="N20" s="1261">
        <v>207.3</v>
      </c>
      <c r="O20" s="1261">
        <v>207.2</v>
      </c>
      <c r="P20" s="1261">
        <v>204.7</v>
      </c>
      <c r="Q20" s="1261">
        <v>204.1</v>
      </c>
      <c r="R20" s="1261">
        <v>211.9</v>
      </c>
      <c r="S20" s="1261">
        <v>198.9</v>
      </c>
      <c r="T20" s="1261">
        <v>237.6</v>
      </c>
      <c r="U20" s="1261">
        <v>204.8</v>
      </c>
      <c r="V20" s="1261">
        <v>208.8</v>
      </c>
      <c r="W20" s="1261">
        <v>218.9</v>
      </c>
      <c r="X20" s="1261">
        <v>179.4</v>
      </c>
      <c r="Y20" s="1261">
        <v>182.2</v>
      </c>
      <c r="Z20" s="1261">
        <v>177.9</v>
      </c>
      <c r="AA20" s="1261">
        <v>213.9</v>
      </c>
      <c r="AB20" s="1261">
        <v>213.3</v>
      </c>
      <c r="AC20" s="1261">
        <v>214.4</v>
      </c>
      <c r="AD20" s="1261">
        <v>212.9</v>
      </c>
      <c r="AE20" s="1261">
        <v>214.7</v>
      </c>
      <c r="AF20" s="1261">
        <v>219.8</v>
      </c>
      <c r="AG20" s="1261">
        <v>220</v>
      </c>
      <c r="AH20" s="1261">
        <v>213.4</v>
      </c>
      <c r="AI20" s="1261">
        <v>201</v>
      </c>
      <c r="AJ20" s="1261">
        <v>189.6</v>
      </c>
      <c r="AK20" s="1261">
        <v>170.9</v>
      </c>
      <c r="AL20" s="1261">
        <v>165.8</v>
      </c>
      <c r="AM20" s="1261">
        <v>173.7</v>
      </c>
      <c r="AN20" s="1261">
        <v>172.8</v>
      </c>
      <c r="AO20" s="1261">
        <v>158.5</v>
      </c>
      <c r="AP20" s="1261">
        <v>177.8</v>
      </c>
      <c r="AQ20" s="1261">
        <v>158.30000000000001</v>
      </c>
      <c r="AR20" s="1261">
        <v>170.7</v>
      </c>
      <c r="AS20" s="1261">
        <v>160.6</v>
      </c>
      <c r="AT20" s="1261">
        <v>159.30000000000001</v>
      </c>
      <c r="AU20" s="1261">
        <v>158.9</v>
      </c>
      <c r="AV20" s="1261">
        <v>227.9</v>
      </c>
      <c r="AW20" s="1261">
        <v>170.4</v>
      </c>
      <c r="AX20" s="1261">
        <v>171.5</v>
      </c>
      <c r="AY20" s="1261">
        <v>226.2</v>
      </c>
      <c r="AZ20" s="1261">
        <v>195.7</v>
      </c>
      <c r="BA20" s="1261">
        <v>222.7</v>
      </c>
      <c r="BB20" s="1261">
        <v>199.7</v>
      </c>
      <c r="BC20" s="1261">
        <v>211.8</v>
      </c>
      <c r="BD20" s="1261">
        <v>197.2</v>
      </c>
      <c r="BE20" s="1261">
        <v>175.2</v>
      </c>
      <c r="BF20" s="1261">
        <v>177.8</v>
      </c>
      <c r="BG20" s="1261">
        <v>171.8</v>
      </c>
      <c r="BH20" s="1261">
        <v>197.9</v>
      </c>
      <c r="BI20" s="1261">
        <v>180.6</v>
      </c>
      <c r="BJ20" s="1261">
        <v>175.8</v>
      </c>
      <c r="BK20" s="1261">
        <v>174.3</v>
      </c>
      <c r="BL20" s="1261">
        <v>178.9</v>
      </c>
      <c r="BM20" s="1261">
        <v>180.3</v>
      </c>
      <c r="BN20" s="1261">
        <v>184.6</v>
      </c>
      <c r="BO20" s="1261">
        <v>179.2</v>
      </c>
      <c r="BP20" s="1261">
        <v>168.8</v>
      </c>
      <c r="BQ20" s="1261">
        <v>169.2</v>
      </c>
      <c r="BR20" s="1261">
        <v>162.30000000000001</v>
      </c>
      <c r="BS20" s="1261">
        <v>161.4</v>
      </c>
      <c r="BT20" s="1261">
        <v>174.8</v>
      </c>
      <c r="BU20" s="1261">
        <v>177.5</v>
      </c>
      <c r="BV20" s="1261">
        <v>164.4</v>
      </c>
      <c r="BW20" s="1261">
        <v>163.80000000000001</v>
      </c>
      <c r="BX20" s="1261">
        <v>171.7</v>
      </c>
      <c r="BY20" s="1261">
        <v>153.19999999999999</v>
      </c>
      <c r="BZ20" s="1261">
        <v>180.7</v>
      </c>
      <c r="CA20" s="1261">
        <v>182.4</v>
      </c>
      <c r="CB20" s="1261">
        <v>180.8</v>
      </c>
      <c r="CC20" s="1261">
        <v>229.3</v>
      </c>
      <c r="CD20" s="1261">
        <v>217.2</v>
      </c>
      <c r="CE20" s="1261">
        <v>217.8</v>
      </c>
      <c r="CF20" s="1261">
        <v>221.6</v>
      </c>
      <c r="CG20" s="1261">
        <v>219.3</v>
      </c>
      <c r="CH20" s="1261">
        <v>217</v>
      </c>
      <c r="CI20" s="1261">
        <v>200.2</v>
      </c>
      <c r="CJ20" s="1261">
        <v>201.9</v>
      </c>
      <c r="CK20" s="1261">
        <v>215.2</v>
      </c>
      <c r="CL20" s="1261">
        <v>196.1</v>
      </c>
      <c r="CM20" s="1261">
        <v>199.2</v>
      </c>
      <c r="CN20" s="1261">
        <v>200.2</v>
      </c>
      <c r="CO20" s="1261">
        <v>186.3</v>
      </c>
      <c r="CP20" s="1261">
        <v>176.4</v>
      </c>
      <c r="CQ20" s="1261">
        <v>178.9</v>
      </c>
      <c r="CR20" s="1261">
        <v>185.9</v>
      </c>
      <c r="CS20" s="1261">
        <v>182.8</v>
      </c>
      <c r="CT20" s="1261">
        <v>203.1</v>
      </c>
      <c r="CU20" s="1261">
        <v>214.7</v>
      </c>
      <c r="CV20" s="1261">
        <v>199.7</v>
      </c>
      <c r="CW20" s="1261">
        <v>157.6</v>
      </c>
      <c r="CX20" s="1261">
        <v>160.5</v>
      </c>
      <c r="CY20" s="1261">
        <v>200.8</v>
      </c>
      <c r="CZ20" s="1261">
        <v>189</v>
      </c>
      <c r="DA20" s="1261">
        <v>198</v>
      </c>
      <c r="DB20" s="1261">
        <v>177.7</v>
      </c>
      <c r="DC20" s="1261">
        <v>178.6</v>
      </c>
      <c r="DD20" s="1261">
        <v>179.5</v>
      </c>
      <c r="DE20" s="1261">
        <v>169.3</v>
      </c>
      <c r="DF20" s="1261">
        <v>177.1</v>
      </c>
      <c r="DG20" s="1261">
        <v>202.6</v>
      </c>
      <c r="DH20" s="1261">
        <v>186.8</v>
      </c>
      <c r="DI20" s="1261">
        <v>189.2</v>
      </c>
      <c r="DJ20" s="1261">
        <v>188.3</v>
      </c>
      <c r="DK20" s="1261">
        <v>213.6</v>
      </c>
      <c r="DL20" s="1261">
        <v>215.2</v>
      </c>
      <c r="DM20" s="1261">
        <v>219.2</v>
      </c>
      <c r="DN20" s="1261">
        <v>217.5</v>
      </c>
      <c r="DO20" s="1261">
        <v>213.7</v>
      </c>
      <c r="DP20" s="1261">
        <v>171</v>
      </c>
      <c r="DQ20" s="1261">
        <v>191.2</v>
      </c>
      <c r="DR20" s="1261">
        <v>192.9</v>
      </c>
      <c r="DS20" s="1261">
        <v>198.1</v>
      </c>
      <c r="DT20" s="1261">
        <v>256.3</v>
      </c>
      <c r="DU20" s="1261">
        <v>191.2</v>
      </c>
      <c r="DV20" s="1261">
        <v>191.4</v>
      </c>
      <c r="DW20" s="1261">
        <v>189.6</v>
      </c>
      <c r="DX20" s="1261">
        <v>185.2</v>
      </c>
      <c r="DY20" s="1261">
        <v>227.1</v>
      </c>
      <c r="DZ20" s="1261">
        <v>156.4</v>
      </c>
      <c r="EA20" s="1261">
        <v>155.6</v>
      </c>
      <c r="EB20" s="1261">
        <v>156.30000000000001</v>
      </c>
      <c r="EC20" s="1261">
        <v>155.4</v>
      </c>
      <c r="ED20" s="1261">
        <v>157.19999999999999</v>
      </c>
      <c r="EE20" s="1261">
        <v>167.3</v>
      </c>
      <c r="EF20" s="1261">
        <v>187.7</v>
      </c>
      <c r="EG20" s="1261">
        <v>180.2</v>
      </c>
      <c r="EH20" s="1261">
        <v>178.6</v>
      </c>
      <c r="EI20" s="1261">
        <v>191.4</v>
      </c>
      <c r="EJ20" s="1261">
        <v>183.5</v>
      </c>
      <c r="EK20" s="1261">
        <v>177.6</v>
      </c>
      <c r="EL20" s="1261">
        <v>184.1</v>
      </c>
      <c r="EM20" s="1261">
        <v>178</v>
      </c>
      <c r="EN20" s="1261">
        <v>190.4</v>
      </c>
      <c r="EO20" s="1261">
        <v>183.3</v>
      </c>
      <c r="EP20" s="1261">
        <v>158.1</v>
      </c>
      <c r="EQ20" s="1261">
        <v>158</v>
      </c>
      <c r="ER20" s="1261">
        <v>151.30000000000001</v>
      </c>
      <c r="ES20" s="1261">
        <v>190.1</v>
      </c>
      <c r="ET20" s="1261">
        <v>191.8</v>
      </c>
      <c r="EU20" s="1261">
        <v>199.3</v>
      </c>
      <c r="EV20" s="1261">
        <v>182</v>
      </c>
      <c r="EW20" s="1261">
        <v>187.9</v>
      </c>
      <c r="EX20" s="1261">
        <v>221.8</v>
      </c>
      <c r="EY20" s="1261">
        <v>196.8</v>
      </c>
      <c r="EZ20" s="1261">
        <v>190.8</v>
      </c>
      <c r="FA20" s="1261">
        <v>191.5</v>
      </c>
      <c r="FB20" s="1261">
        <v>209.3</v>
      </c>
      <c r="FC20" s="1261">
        <v>155.30000000000001</v>
      </c>
      <c r="FD20" s="1261">
        <v>148.1</v>
      </c>
      <c r="FE20" s="1261">
        <v>156.69999999999999</v>
      </c>
      <c r="FF20" s="1261">
        <v>158.80000000000001</v>
      </c>
      <c r="FG20" s="1261">
        <v>163.80000000000001</v>
      </c>
      <c r="FH20" s="1261">
        <v>155.80000000000001</v>
      </c>
      <c r="FI20" s="1261">
        <v>166.3</v>
      </c>
      <c r="FJ20" s="1261">
        <v>167.5</v>
      </c>
      <c r="FK20" s="1261">
        <v>152.5</v>
      </c>
      <c r="FL20" s="1261">
        <v>158.6</v>
      </c>
      <c r="FM20" s="1261">
        <v>154.30000000000001</v>
      </c>
      <c r="FN20" s="1261">
        <v>158.19999999999999</v>
      </c>
      <c r="FO20" s="1261">
        <v>151.80000000000001</v>
      </c>
      <c r="FP20" s="1261">
        <v>165.2</v>
      </c>
      <c r="FQ20" s="1261">
        <v>149.1</v>
      </c>
      <c r="FR20" s="1261">
        <v>159.4</v>
      </c>
      <c r="FS20" s="1261">
        <v>167.8</v>
      </c>
      <c r="FT20" s="1261">
        <v>156.6</v>
      </c>
      <c r="FU20" s="1261">
        <v>149.1</v>
      </c>
      <c r="FV20" s="1261">
        <v>160.69999999999999</v>
      </c>
      <c r="FW20" s="1261">
        <v>153.80000000000001</v>
      </c>
      <c r="FX20" s="1261">
        <v>152.9</v>
      </c>
      <c r="FY20" s="1261">
        <v>165.6</v>
      </c>
      <c r="FZ20" s="1261">
        <v>168.8</v>
      </c>
      <c r="GA20" s="1261">
        <v>172.4</v>
      </c>
      <c r="GB20" s="1261">
        <v>170.5</v>
      </c>
      <c r="GC20" s="1261">
        <v>182.4</v>
      </c>
      <c r="GD20" s="1261">
        <v>168.3</v>
      </c>
      <c r="GE20" s="1261">
        <v>169.7</v>
      </c>
      <c r="GF20" s="1251">
        <f t="shared" si="2"/>
        <v>168.85000000000002</v>
      </c>
      <c r="GG20" s="1251">
        <f t="shared" si="1"/>
        <v>175.9</v>
      </c>
      <c r="GH20" s="1261">
        <v>169.4</v>
      </c>
      <c r="GI20" s="1261">
        <v>166.4</v>
      </c>
      <c r="GJ20" s="1261">
        <v>201.9</v>
      </c>
      <c r="GK20" s="1261">
        <v>181.6</v>
      </c>
      <c r="GL20" s="1261">
        <v>194.3</v>
      </c>
      <c r="GM20" s="1261">
        <v>183.4</v>
      </c>
      <c r="GN20" s="1261">
        <v>186.4</v>
      </c>
      <c r="GO20" s="1261">
        <v>190</v>
      </c>
      <c r="GP20" s="1261">
        <v>195.5</v>
      </c>
      <c r="GQ20" s="1261">
        <v>191.2</v>
      </c>
      <c r="GR20" s="1261">
        <v>202.2</v>
      </c>
      <c r="GS20" s="1261">
        <v>194.9</v>
      </c>
      <c r="GT20" s="1261">
        <v>165</v>
      </c>
      <c r="GU20" s="1261">
        <v>219.1</v>
      </c>
      <c r="GV20" s="1261">
        <v>219.6</v>
      </c>
      <c r="GW20" s="1261">
        <v>211.1</v>
      </c>
      <c r="GX20" s="1261">
        <v>208.2</v>
      </c>
      <c r="GY20" s="1261">
        <v>209.6</v>
      </c>
      <c r="GZ20" s="1261">
        <v>209.7</v>
      </c>
      <c r="HA20" s="1261">
        <v>207.5</v>
      </c>
      <c r="HB20" s="1261">
        <v>216.6</v>
      </c>
      <c r="HC20" s="1261">
        <v>214</v>
      </c>
      <c r="HD20" s="1261">
        <v>200.7</v>
      </c>
      <c r="HE20" s="759"/>
      <c r="HF20" s="759">
        <f t="shared" si="0"/>
        <v>256.3</v>
      </c>
    </row>
    <row r="21" spans="1:214" ht="22.15" customHeight="1">
      <c r="A21" s="1249">
        <v>2011</v>
      </c>
      <c r="B21" s="1261">
        <v>163</v>
      </c>
      <c r="C21" s="1261">
        <v>156.30000000000001</v>
      </c>
      <c r="D21" s="1261">
        <v>156.9</v>
      </c>
      <c r="E21" s="1261">
        <v>147.6</v>
      </c>
      <c r="F21" s="1261">
        <v>148.30000000000001</v>
      </c>
      <c r="G21" s="1261">
        <v>225.1</v>
      </c>
      <c r="H21" s="1261">
        <v>163.80000000000001</v>
      </c>
      <c r="I21" s="1261">
        <v>159.5</v>
      </c>
      <c r="J21" s="1261">
        <v>152</v>
      </c>
      <c r="K21" s="1261">
        <v>154.1</v>
      </c>
      <c r="L21" s="1261">
        <v>196.1</v>
      </c>
      <c r="M21" s="1261">
        <v>194.6</v>
      </c>
      <c r="N21" s="1261">
        <v>199.8</v>
      </c>
      <c r="O21" s="1261">
        <v>199.2</v>
      </c>
      <c r="P21" s="1261">
        <v>197</v>
      </c>
      <c r="Q21" s="1261">
        <v>195.8</v>
      </c>
      <c r="R21" s="1261">
        <v>203.1</v>
      </c>
      <c r="S21" s="1261">
        <v>192.3</v>
      </c>
      <c r="T21" s="1261">
        <v>227.9</v>
      </c>
      <c r="U21" s="1261">
        <v>196.2</v>
      </c>
      <c r="V21" s="1261">
        <v>201.3</v>
      </c>
      <c r="W21" s="1261">
        <v>210.3</v>
      </c>
      <c r="X21" s="1261">
        <v>171.7</v>
      </c>
      <c r="Y21" s="1261">
        <v>174.1</v>
      </c>
      <c r="Z21" s="1261">
        <v>170.7</v>
      </c>
      <c r="AA21" s="1261">
        <v>205.2</v>
      </c>
      <c r="AB21" s="1261">
        <v>204.2</v>
      </c>
      <c r="AC21" s="1261">
        <v>205.1</v>
      </c>
      <c r="AD21" s="1261">
        <v>203.9</v>
      </c>
      <c r="AE21" s="1261">
        <v>205.8</v>
      </c>
      <c r="AF21" s="1261">
        <v>211</v>
      </c>
      <c r="AG21" s="1261">
        <v>211.2</v>
      </c>
      <c r="AH21" s="1261">
        <v>204.6</v>
      </c>
      <c r="AI21" s="1261">
        <v>193.3</v>
      </c>
      <c r="AJ21" s="1261">
        <v>182.3</v>
      </c>
      <c r="AK21" s="1261">
        <v>164.4</v>
      </c>
      <c r="AL21" s="1261">
        <v>159.4</v>
      </c>
      <c r="AM21" s="1261">
        <v>167</v>
      </c>
      <c r="AN21" s="1261">
        <v>166.1</v>
      </c>
      <c r="AO21" s="1261">
        <v>151.69999999999999</v>
      </c>
      <c r="AP21" s="1261">
        <v>171.4</v>
      </c>
      <c r="AQ21" s="1261">
        <v>151.80000000000001</v>
      </c>
      <c r="AR21" s="1261">
        <v>164</v>
      </c>
      <c r="AS21" s="1261">
        <v>154.30000000000001</v>
      </c>
      <c r="AT21" s="1261">
        <v>152.69999999999999</v>
      </c>
      <c r="AU21" s="1261">
        <v>151.69999999999999</v>
      </c>
      <c r="AV21" s="1261">
        <v>219</v>
      </c>
      <c r="AW21" s="1261">
        <v>162.80000000000001</v>
      </c>
      <c r="AX21" s="1261">
        <v>163.6</v>
      </c>
      <c r="AY21" s="1261">
        <v>217.6</v>
      </c>
      <c r="AZ21" s="1261">
        <v>187.9</v>
      </c>
      <c r="BA21" s="1261">
        <v>216.8</v>
      </c>
      <c r="BB21" s="1261">
        <v>193.4</v>
      </c>
      <c r="BC21" s="1261">
        <v>205.8</v>
      </c>
      <c r="BD21" s="1261">
        <v>189.4</v>
      </c>
      <c r="BE21" s="1261">
        <v>168.4</v>
      </c>
      <c r="BF21" s="1261">
        <v>169.7</v>
      </c>
      <c r="BG21" s="1261">
        <v>165</v>
      </c>
      <c r="BH21" s="1261">
        <v>191</v>
      </c>
      <c r="BI21" s="1261">
        <v>173</v>
      </c>
      <c r="BJ21" s="1261">
        <v>169.2</v>
      </c>
      <c r="BK21" s="1261">
        <v>168.1</v>
      </c>
      <c r="BL21" s="1261">
        <v>171.3</v>
      </c>
      <c r="BM21" s="1261">
        <v>173.8</v>
      </c>
      <c r="BN21" s="1261">
        <v>178.1</v>
      </c>
      <c r="BO21" s="1261">
        <v>172.7</v>
      </c>
      <c r="BP21" s="1261">
        <v>162.30000000000001</v>
      </c>
      <c r="BQ21" s="1261">
        <v>162.80000000000001</v>
      </c>
      <c r="BR21" s="1261">
        <v>156.30000000000001</v>
      </c>
      <c r="BS21" s="1261">
        <v>155.30000000000001</v>
      </c>
      <c r="BT21" s="1261">
        <v>167.8</v>
      </c>
      <c r="BU21" s="1261">
        <v>170.8</v>
      </c>
      <c r="BV21" s="1261">
        <v>156.9</v>
      </c>
      <c r="BW21" s="1261">
        <v>156.5</v>
      </c>
      <c r="BX21" s="1261">
        <v>162.1</v>
      </c>
      <c r="BY21" s="1261">
        <v>146.69999999999999</v>
      </c>
      <c r="BZ21" s="1261">
        <v>167.4</v>
      </c>
      <c r="CA21" s="1261">
        <v>169.1</v>
      </c>
      <c r="CB21" s="1261">
        <v>173.6</v>
      </c>
      <c r="CC21" s="1261">
        <v>219.3</v>
      </c>
      <c r="CD21" s="1261">
        <v>208.2</v>
      </c>
      <c r="CE21" s="1261">
        <v>206</v>
      </c>
      <c r="CF21" s="1261">
        <v>211.6</v>
      </c>
      <c r="CG21" s="1261">
        <v>210.1</v>
      </c>
      <c r="CH21" s="1261">
        <v>205.2</v>
      </c>
      <c r="CI21" s="1261">
        <v>191.2</v>
      </c>
      <c r="CJ21" s="1261">
        <v>194.5</v>
      </c>
      <c r="CK21" s="1261">
        <v>206.6</v>
      </c>
      <c r="CL21" s="1261">
        <v>186.7</v>
      </c>
      <c r="CM21" s="1261">
        <v>189.4</v>
      </c>
      <c r="CN21" s="1261">
        <v>190.3</v>
      </c>
      <c r="CO21" s="1261">
        <v>178.5</v>
      </c>
      <c r="CP21" s="1261">
        <v>169.9</v>
      </c>
      <c r="CQ21" s="1261">
        <v>171.9</v>
      </c>
      <c r="CR21" s="1261">
        <v>178</v>
      </c>
      <c r="CS21" s="1261">
        <v>174.6</v>
      </c>
      <c r="CT21" s="1261">
        <v>195.7</v>
      </c>
      <c r="CU21" s="1261">
        <v>208.1</v>
      </c>
      <c r="CV21" s="1261">
        <v>193.8</v>
      </c>
      <c r="CW21" s="1261">
        <v>151.4</v>
      </c>
      <c r="CX21" s="1261">
        <v>154.30000000000001</v>
      </c>
      <c r="CY21" s="1261">
        <v>191.1</v>
      </c>
      <c r="CZ21" s="1261">
        <v>178.8</v>
      </c>
      <c r="DA21" s="1261">
        <v>190.6</v>
      </c>
      <c r="DB21" s="1261">
        <v>168.3</v>
      </c>
      <c r="DC21" s="1261">
        <v>168.8</v>
      </c>
      <c r="DD21" s="1261">
        <v>170.8</v>
      </c>
      <c r="DE21" s="1261">
        <v>162.80000000000001</v>
      </c>
      <c r="DF21" s="1261">
        <v>169.6</v>
      </c>
      <c r="DG21" s="1261">
        <v>195.7</v>
      </c>
      <c r="DH21" s="1261">
        <v>179.8</v>
      </c>
      <c r="DI21" s="1261">
        <v>176.8</v>
      </c>
      <c r="DJ21" s="1261">
        <v>176.1</v>
      </c>
      <c r="DK21" s="1261">
        <v>205.5</v>
      </c>
      <c r="DL21" s="1261">
        <v>207</v>
      </c>
      <c r="DM21" s="1261">
        <v>210.3</v>
      </c>
      <c r="DN21" s="1261">
        <v>209.2</v>
      </c>
      <c r="DO21" s="1261">
        <v>206.4</v>
      </c>
      <c r="DP21" s="1261">
        <v>163.30000000000001</v>
      </c>
      <c r="DQ21" s="1261">
        <v>180.9</v>
      </c>
      <c r="DR21" s="1261">
        <v>176.1</v>
      </c>
      <c r="DS21" s="1261">
        <v>188.1</v>
      </c>
      <c r="DT21" s="1261">
        <v>245.6</v>
      </c>
      <c r="DU21" s="1261">
        <v>181.9</v>
      </c>
      <c r="DV21" s="1261">
        <v>181.5</v>
      </c>
      <c r="DW21" s="1261">
        <v>180.8</v>
      </c>
      <c r="DX21" s="1261">
        <v>173.5</v>
      </c>
      <c r="DY21" s="1261">
        <v>218.9</v>
      </c>
      <c r="DZ21" s="1261">
        <v>142.6</v>
      </c>
      <c r="EA21" s="1261">
        <v>143.80000000000001</v>
      </c>
      <c r="EB21" s="1261">
        <v>142.19999999999999</v>
      </c>
      <c r="EC21" s="1261">
        <v>142.80000000000001</v>
      </c>
      <c r="ED21" s="1261">
        <v>140.9</v>
      </c>
      <c r="EE21" s="1261">
        <v>160.30000000000001</v>
      </c>
      <c r="EF21" s="1261">
        <v>180.8</v>
      </c>
      <c r="EG21" s="1261">
        <v>172.1</v>
      </c>
      <c r="EH21" s="1261">
        <v>171.3</v>
      </c>
      <c r="EI21" s="1261">
        <v>184</v>
      </c>
      <c r="EJ21" s="1261">
        <v>175.7</v>
      </c>
      <c r="EK21" s="1261">
        <v>168.4</v>
      </c>
      <c r="EL21" s="1261">
        <v>176.8</v>
      </c>
      <c r="EM21" s="1261">
        <v>168.4</v>
      </c>
      <c r="EN21" s="1261">
        <v>183.1</v>
      </c>
      <c r="EO21" s="1261">
        <v>176.5</v>
      </c>
      <c r="EP21" s="1261">
        <v>151.69999999999999</v>
      </c>
      <c r="EQ21" s="1261">
        <v>151.6</v>
      </c>
      <c r="ER21" s="1261">
        <v>144.80000000000001</v>
      </c>
      <c r="ES21" s="1261">
        <v>184.9</v>
      </c>
      <c r="ET21" s="1261">
        <v>186.6</v>
      </c>
      <c r="EU21" s="1261">
        <v>192.2</v>
      </c>
      <c r="EV21" s="1261">
        <v>176</v>
      </c>
      <c r="EW21" s="1261">
        <v>180.9</v>
      </c>
      <c r="EX21" s="1261">
        <v>212.8</v>
      </c>
      <c r="EY21" s="1261">
        <v>187.7</v>
      </c>
      <c r="EZ21" s="1261">
        <v>184.3</v>
      </c>
      <c r="FA21" s="1261">
        <v>185.3</v>
      </c>
      <c r="FB21" s="1261">
        <v>196.8</v>
      </c>
      <c r="FC21" s="1261">
        <v>149.4</v>
      </c>
      <c r="FD21" s="1261">
        <v>142.30000000000001</v>
      </c>
      <c r="FE21" s="1261">
        <v>149.5</v>
      </c>
      <c r="FF21" s="1261">
        <v>151.30000000000001</v>
      </c>
      <c r="FG21" s="1261">
        <v>157.30000000000001</v>
      </c>
      <c r="FH21" s="1261">
        <v>149.30000000000001</v>
      </c>
      <c r="FI21" s="1261">
        <v>158.4</v>
      </c>
      <c r="FJ21" s="1261">
        <v>160.69999999999999</v>
      </c>
      <c r="FK21" s="1261">
        <v>145.9</v>
      </c>
      <c r="FL21" s="1261">
        <v>151.9</v>
      </c>
      <c r="FM21" s="1261">
        <v>147.6</v>
      </c>
      <c r="FN21" s="1261">
        <v>152.4</v>
      </c>
      <c r="FO21" s="1261">
        <v>145</v>
      </c>
      <c r="FP21" s="1261">
        <v>157.9</v>
      </c>
      <c r="FQ21" s="1261">
        <v>142.5</v>
      </c>
      <c r="FR21" s="1261">
        <v>152.80000000000001</v>
      </c>
      <c r="FS21" s="1261">
        <v>160.80000000000001</v>
      </c>
      <c r="FT21" s="1261">
        <v>150</v>
      </c>
      <c r="FU21" s="1261">
        <v>142.5</v>
      </c>
      <c r="FV21" s="1261">
        <v>152.6</v>
      </c>
      <c r="FW21" s="1261">
        <v>147.30000000000001</v>
      </c>
      <c r="FX21" s="1261">
        <v>146.6</v>
      </c>
      <c r="FY21" s="1261">
        <v>158.69999999999999</v>
      </c>
      <c r="FZ21" s="1261">
        <v>161.80000000000001</v>
      </c>
      <c r="GA21" s="1261">
        <v>158.80000000000001</v>
      </c>
      <c r="GB21" s="1261">
        <v>157.1</v>
      </c>
      <c r="GC21" s="1261">
        <v>174.5</v>
      </c>
      <c r="GD21" s="1261">
        <v>159.80000000000001</v>
      </c>
      <c r="GE21" s="1261">
        <v>161.1</v>
      </c>
      <c r="GF21" s="1251">
        <f t="shared" si="2"/>
        <v>159.4</v>
      </c>
      <c r="GG21" s="1251">
        <f t="shared" si="1"/>
        <v>166.75</v>
      </c>
      <c r="GH21" s="1261">
        <v>159</v>
      </c>
      <c r="GI21" s="1261">
        <v>154.19999999999999</v>
      </c>
      <c r="GJ21" s="1261">
        <v>194.1</v>
      </c>
      <c r="GK21" s="1261">
        <v>175.5</v>
      </c>
      <c r="GL21" s="1261">
        <v>187.6</v>
      </c>
      <c r="GM21" s="1261">
        <v>177.5</v>
      </c>
      <c r="GN21" s="1261">
        <v>180.3</v>
      </c>
      <c r="GO21" s="1261">
        <v>181.4</v>
      </c>
      <c r="GP21" s="1261">
        <v>187.6</v>
      </c>
      <c r="GQ21" s="1261">
        <v>183.4</v>
      </c>
      <c r="GR21" s="1261">
        <v>191.9</v>
      </c>
      <c r="GS21" s="1261">
        <v>187</v>
      </c>
      <c r="GT21" s="1261">
        <v>155.30000000000001</v>
      </c>
      <c r="GU21" s="1261">
        <v>212.6</v>
      </c>
      <c r="GV21" s="1261">
        <v>212.4</v>
      </c>
      <c r="GW21" s="1261">
        <v>204.2</v>
      </c>
      <c r="GX21" s="1261">
        <v>200.1</v>
      </c>
      <c r="GY21" s="1261">
        <v>202.1</v>
      </c>
      <c r="GZ21" s="1261">
        <v>202</v>
      </c>
      <c r="HA21" s="1261">
        <v>200.6</v>
      </c>
      <c r="HB21" s="1261">
        <v>209.6</v>
      </c>
      <c r="HC21" s="1261">
        <v>207.1</v>
      </c>
      <c r="HD21" s="1261">
        <v>192.6</v>
      </c>
      <c r="HE21" s="759"/>
      <c r="HF21" s="759">
        <f t="shared" si="0"/>
        <v>245.6</v>
      </c>
    </row>
    <row r="22" spans="1:214" ht="22.15" customHeight="1">
      <c r="A22" s="1249">
        <v>2010</v>
      </c>
      <c r="B22" s="1261">
        <v>159.6</v>
      </c>
      <c r="C22" s="1261">
        <v>152.9</v>
      </c>
      <c r="D22" s="1261">
        <v>153.1</v>
      </c>
      <c r="E22" s="1261">
        <v>144.4</v>
      </c>
      <c r="F22" s="1261">
        <v>144.9</v>
      </c>
      <c r="G22" s="1261">
        <v>218.3</v>
      </c>
      <c r="H22" s="1261">
        <v>160.69999999999999</v>
      </c>
      <c r="I22" s="1261">
        <v>157.30000000000001</v>
      </c>
      <c r="J22" s="1261">
        <v>150.30000000000001</v>
      </c>
      <c r="K22" s="1261">
        <v>152.5</v>
      </c>
      <c r="L22" s="1261">
        <v>192.8</v>
      </c>
      <c r="M22" s="1261">
        <v>190.8</v>
      </c>
      <c r="N22" s="1261">
        <v>195</v>
      </c>
      <c r="O22" s="1261">
        <v>194.9</v>
      </c>
      <c r="P22" s="1261">
        <v>192.8</v>
      </c>
      <c r="Q22" s="1261">
        <v>192.7</v>
      </c>
      <c r="R22" s="1261">
        <v>196.7</v>
      </c>
      <c r="S22" s="1261">
        <v>188.2</v>
      </c>
      <c r="T22" s="1261">
        <v>223</v>
      </c>
      <c r="U22" s="1261">
        <v>192.9</v>
      </c>
      <c r="V22" s="1261">
        <v>195.9</v>
      </c>
      <c r="W22" s="1261">
        <v>204.6</v>
      </c>
      <c r="X22" s="1261">
        <v>170.5</v>
      </c>
      <c r="Y22" s="1261">
        <v>172.6</v>
      </c>
      <c r="Z22" s="1261">
        <v>168.1</v>
      </c>
      <c r="AA22" s="1261">
        <v>198.8</v>
      </c>
      <c r="AB22" s="1261">
        <v>199.1</v>
      </c>
      <c r="AC22" s="1261">
        <v>199.8</v>
      </c>
      <c r="AD22" s="1261">
        <v>198.8</v>
      </c>
      <c r="AE22" s="1261">
        <v>200.7</v>
      </c>
      <c r="AF22" s="1261">
        <v>198.3</v>
      </c>
      <c r="AG22" s="1261">
        <v>203.8</v>
      </c>
      <c r="AH22" s="1261">
        <v>199.4</v>
      </c>
      <c r="AI22" s="1261">
        <v>187.7</v>
      </c>
      <c r="AJ22" s="1261">
        <v>179</v>
      </c>
      <c r="AK22" s="1261">
        <v>160.30000000000001</v>
      </c>
      <c r="AL22" s="1261">
        <v>155.4</v>
      </c>
      <c r="AM22" s="1261">
        <v>163.30000000000001</v>
      </c>
      <c r="AN22" s="1261">
        <v>162.5</v>
      </c>
      <c r="AO22" s="1261">
        <v>148.1</v>
      </c>
      <c r="AP22" s="1261">
        <v>167.5</v>
      </c>
      <c r="AQ22" s="1261">
        <v>148.30000000000001</v>
      </c>
      <c r="AR22" s="1261">
        <v>160.1</v>
      </c>
      <c r="AS22" s="1261">
        <v>150.9</v>
      </c>
      <c r="AT22" s="1261">
        <v>149.4</v>
      </c>
      <c r="AU22" s="1261">
        <v>147.9</v>
      </c>
      <c r="AV22" s="1261">
        <v>214.6</v>
      </c>
      <c r="AW22" s="1261">
        <v>161.69999999999999</v>
      </c>
      <c r="AX22" s="1261">
        <v>162.4</v>
      </c>
      <c r="AY22" s="1261">
        <v>210.6</v>
      </c>
      <c r="AZ22" s="1261">
        <v>181.2</v>
      </c>
      <c r="BA22" s="1261">
        <v>208.3</v>
      </c>
      <c r="BB22" s="1261">
        <v>186.2</v>
      </c>
      <c r="BC22" s="1261">
        <v>197.6</v>
      </c>
      <c r="BD22" s="1261">
        <v>182.2</v>
      </c>
      <c r="BE22" s="1261">
        <v>162.80000000000001</v>
      </c>
      <c r="BF22" s="1261">
        <v>165.9</v>
      </c>
      <c r="BG22" s="1261">
        <v>160</v>
      </c>
      <c r="BH22" s="1261">
        <v>183.7</v>
      </c>
      <c r="BI22" s="1261">
        <v>168.1</v>
      </c>
      <c r="BJ22" s="1261">
        <v>163.1</v>
      </c>
      <c r="BK22" s="1261">
        <v>163.5</v>
      </c>
      <c r="BL22" s="1261">
        <v>167.8</v>
      </c>
      <c r="BM22" s="1261">
        <v>170.4</v>
      </c>
      <c r="BN22" s="1261">
        <v>175.6</v>
      </c>
      <c r="BO22" s="1261">
        <v>170.2</v>
      </c>
      <c r="BP22" s="1261">
        <v>159</v>
      </c>
      <c r="BQ22" s="1261">
        <v>160.19999999999999</v>
      </c>
      <c r="BR22" s="1261">
        <v>152.80000000000001</v>
      </c>
      <c r="BS22" s="1261">
        <v>151.30000000000001</v>
      </c>
      <c r="BT22" s="1261">
        <v>158.69999999999999</v>
      </c>
      <c r="BU22" s="1261">
        <v>166.9</v>
      </c>
      <c r="BV22" s="1261">
        <v>153.69999999999999</v>
      </c>
      <c r="BW22" s="1261">
        <v>153.4</v>
      </c>
      <c r="BX22" s="1261">
        <v>160.30000000000001</v>
      </c>
      <c r="BY22" s="1261">
        <v>145.1</v>
      </c>
      <c r="BZ22" s="1261">
        <v>162.1</v>
      </c>
      <c r="CA22" s="1261">
        <v>163.69999999999999</v>
      </c>
      <c r="CB22" s="1261">
        <v>168.3</v>
      </c>
      <c r="CC22" s="1261">
        <v>214.3</v>
      </c>
      <c r="CD22" s="1261">
        <v>202.7</v>
      </c>
      <c r="CE22" s="1261">
        <v>200.7</v>
      </c>
      <c r="CF22" s="1261">
        <v>204.9</v>
      </c>
      <c r="CG22" s="1261">
        <v>204.7</v>
      </c>
      <c r="CH22" s="1261">
        <v>200</v>
      </c>
      <c r="CI22" s="1261">
        <v>185.9</v>
      </c>
      <c r="CJ22" s="1261">
        <v>189.4</v>
      </c>
      <c r="CK22" s="1261">
        <v>201.1</v>
      </c>
      <c r="CL22" s="1261">
        <v>183.3</v>
      </c>
      <c r="CM22" s="1261">
        <v>186.8</v>
      </c>
      <c r="CN22" s="1261">
        <v>187.5</v>
      </c>
      <c r="CO22" s="1261">
        <v>176.2</v>
      </c>
      <c r="CP22" s="1261">
        <v>160.6</v>
      </c>
      <c r="CQ22" s="1261">
        <v>167.3</v>
      </c>
      <c r="CR22" s="1261">
        <v>175.8</v>
      </c>
      <c r="CS22" s="1261">
        <v>171.9</v>
      </c>
      <c r="CT22" s="1261">
        <v>193.1</v>
      </c>
      <c r="CU22" s="1261">
        <v>203.8</v>
      </c>
      <c r="CV22" s="1261">
        <v>188.9</v>
      </c>
      <c r="CW22" s="1261">
        <v>148</v>
      </c>
      <c r="CX22" s="1261">
        <v>151</v>
      </c>
      <c r="CY22" s="1261">
        <v>186.1</v>
      </c>
      <c r="CZ22" s="1261">
        <v>174.2</v>
      </c>
      <c r="DA22" s="1261">
        <v>185.9</v>
      </c>
      <c r="DB22" s="1261">
        <v>164.3</v>
      </c>
      <c r="DC22" s="1261">
        <v>166.5</v>
      </c>
      <c r="DD22" s="1261">
        <v>168.6</v>
      </c>
      <c r="DE22" s="1261">
        <v>159.30000000000001</v>
      </c>
      <c r="DF22" s="1261">
        <v>165.8</v>
      </c>
      <c r="DG22" s="1261">
        <v>193.7</v>
      </c>
      <c r="DH22" s="1261">
        <v>175.6</v>
      </c>
      <c r="DI22" s="1261">
        <v>172.5</v>
      </c>
      <c r="DJ22" s="1261">
        <v>172</v>
      </c>
      <c r="DK22" s="1261">
        <v>201.2</v>
      </c>
      <c r="DL22" s="1261">
        <v>203.3</v>
      </c>
      <c r="DM22" s="1261">
        <v>206.3</v>
      </c>
      <c r="DN22" s="1261">
        <v>205.3</v>
      </c>
      <c r="DO22" s="1261">
        <v>200.8</v>
      </c>
      <c r="DP22" s="1261">
        <v>162.5</v>
      </c>
      <c r="DQ22" s="1261">
        <v>177.8</v>
      </c>
      <c r="DR22" s="1261">
        <v>173.8</v>
      </c>
      <c r="DS22" s="1261">
        <v>184</v>
      </c>
      <c r="DT22" s="1261">
        <v>241.4</v>
      </c>
      <c r="DU22" s="1261">
        <v>179.6</v>
      </c>
      <c r="DV22" s="1261">
        <v>179</v>
      </c>
      <c r="DW22" s="1261">
        <v>176.7</v>
      </c>
      <c r="DX22" s="1261">
        <v>170.5</v>
      </c>
      <c r="DY22" s="1261">
        <v>217.1</v>
      </c>
      <c r="DZ22" s="1261">
        <v>140.5</v>
      </c>
      <c r="EA22" s="1261">
        <v>141.6</v>
      </c>
      <c r="EB22" s="1261">
        <v>140</v>
      </c>
      <c r="EC22" s="1261">
        <v>140.6</v>
      </c>
      <c r="ED22" s="1261">
        <v>138.80000000000001</v>
      </c>
      <c r="EE22" s="1261">
        <v>156.19999999999999</v>
      </c>
      <c r="EF22" s="1261">
        <v>174.5</v>
      </c>
      <c r="EG22" s="1261">
        <v>167.5</v>
      </c>
      <c r="EH22" s="1261">
        <v>166.5</v>
      </c>
      <c r="EI22" s="1261">
        <v>180.2</v>
      </c>
      <c r="EJ22" s="1261">
        <v>170.3</v>
      </c>
      <c r="EK22" s="1261">
        <v>163.4</v>
      </c>
      <c r="EL22" s="1261">
        <v>173</v>
      </c>
      <c r="EM22" s="1261">
        <v>164.6</v>
      </c>
      <c r="EN22" s="1261">
        <v>176.5</v>
      </c>
      <c r="EO22" s="1261">
        <v>171.7</v>
      </c>
      <c r="EP22" s="1261">
        <v>149.5</v>
      </c>
      <c r="EQ22" s="1261">
        <v>149.4</v>
      </c>
      <c r="ER22" s="1261">
        <v>143.1</v>
      </c>
      <c r="ES22" s="1261">
        <v>181.5</v>
      </c>
      <c r="ET22" s="1261">
        <v>182.9</v>
      </c>
      <c r="EU22" s="1261">
        <v>187.9</v>
      </c>
      <c r="EV22" s="1261">
        <v>171</v>
      </c>
      <c r="EW22" s="1261">
        <v>175.2</v>
      </c>
      <c r="EX22" s="1261">
        <v>209.3</v>
      </c>
      <c r="EY22" s="1261">
        <v>182.3</v>
      </c>
      <c r="EZ22" s="1261">
        <v>179.8</v>
      </c>
      <c r="FA22" s="1261">
        <v>180.8</v>
      </c>
      <c r="FB22" s="1261">
        <v>192.8</v>
      </c>
      <c r="FC22" s="1261">
        <v>147.4</v>
      </c>
      <c r="FD22" s="1261">
        <v>140.19999999999999</v>
      </c>
      <c r="FE22" s="1261">
        <v>147.30000000000001</v>
      </c>
      <c r="FF22" s="1261">
        <v>149</v>
      </c>
      <c r="FG22" s="1261">
        <v>152.4</v>
      </c>
      <c r="FH22" s="1261">
        <v>144.69999999999999</v>
      </c>
      <c r="FI22" s="1261">
        <v>154.19999999999999</v>
      </c>
      <c r="FJ22" s="1261">
        <v>156.69999999999999</v>
      </c>
      <c r="FK22" s="1261">
        <v>144.19999999999999</v>
      </c>
      <c r="FL22" s="1261">
        <v>150.1</v>
      </c>
      <c r="FM22" s="1261">
        <v>144.69999999999999</v>
      </c>
      <c r="FN22" s="1261">
        <v>150.5</v>
      </c>
      <c r="FO22" s="1261">
        <v>142.1</v>
      </c>
      <c r="FP22" s="1261">
        <v>155.1</v>
      </c>
      <c r="FQ22" s="1261">
        <v>140.80000000000001</v>
      </c>
      <c r="FR22" s="1261">
        <v>149.6</v>
      </c>
      <c r="FS22" s="1261">
        <v>157.30000000000001</v>
      </c>
      <c r="FT22" s="1261">
        <v>148.1</v>
      </c>
      <c r="FU22" s="1261">
        <v>140.69999999999999</v>
      </c>
      <c r="FV22" s="1261">
        <v>147.9</v>
      </c>
      <c r="FW22" s="1261">
        <v>145.80000000000001</v>
      </c>
      <c r="FX22" s="1261">
        <v>145</v>
      </c>
      <c r="FY22" s="1261">
        <v>157.5</v>
      </c>
      <c r="FZ22" s="1261">
        <v>160.9</v>
      </c>
      <c r="GA22" s="1261">
        <v>156.30000000000001</v>
      </c>
      <c r="GB22" s="1261">
        <v>154.6</v>
      </c>
      <c r="GC22" s="1261">
        <v>170.9</v>
      </c>
      <c r="GD22" s="1261">
        <v>156.69999999999999</v>
      </c>
      <c r="GE22" s="1261">
        <v>158</v>
      </c>
      <c r="GF22" s="1251">
        <f t="shared" si="2"/>
        <v>156.64999999999998</v>
      </c>
      <c r="GG22" s="1251">
        <f t="shared" si="1"/>
        <v>163.75</v>
      </c>
      <c r="GH22" s="1261">
        <v>156.6</v>
      </c>
      <c r="GI22" s="1261">
        <v>151.80000000000001</v>
      </c>
      <c r="GJ22" s="1261">
        <v>191.8</v>
      </c>
      <c r="GK22" s="1261">
        <v>171.5</v>
      </c>
      <c r="GL22" s="1261">
        <v>186</v>
      </c>
      <c r="GM22" s="1261">
        <v>171.6</v>
      </c>
      <c r="GN22" s="1261">
        <v>176.1</v>
      </c>
      <c r="GO22" s="1261">
        <v>179</v>
      </c>
      <c r="GP22" s="1261">
        <v>185.1</v>
      </c>
      <c r="GQ22" s="1261">
        <v>181.3</v>
      </c>
      <c r="GR22" s="1261">
        <v>187.1</v>
      </c>
      <c r="GS22" s="1261">
        <v>184.4</v>
      </c>
      <c r="GT22" s="1261">
        <v>154.4</v>
      </c>
      <c r="GU22" s="1261">
        <v>200.6</v>
      </c>
      <c r="GV22" s="1261">
        <v>200.7</v>
      </c>
      <c r="GW22" s="1261">
        <v>197.7</v>
      </c>
      <c r="GX22" s="1261">
        <v>193.7</v>
      </c>
      <c r="GY22" s="1261">
        <v>193.9</v>
      </c>
      <c r="GZ22" s="1261">
        <v>195.6</v>
      </c>
      <c r="HA22" s="1261">
        <v>192.7</v>
      </c>
      <c r="HB22" s="1261">
        <v>200.7</v>
      </c>
      <c r="HC22" s="1261">
        <v>192.7</v>
      </c>
      <c r="HD22" s="1261">
        <v>182.9</v>
      </c>
      <c r="HE22" s="759"/>
      <c r="HF22" s="759">
        <f t="shared" si="0"/>
        <v>241.4</v>
      </c>
    </row>
    <row r="23" spans="1:214" ht="22.15" customHeight="1">
      <c r="A23" s="1249">
        <v>2009</v>
      </c>
      <c r="B23" s="1261">
        <v>162.69999999999999</v>
      </c>
      <c r="C23" s="1261">
        <v>157.19999999999999</v>
      </c>
      <c r="D23" s="1261">
        <v>155.6</v>
      </c>
      <c r="E23" s="1261">
        <v>148.80000000000001</v>
      </c>
      <c r="F23" s="1261">
        <v>149.4</v>
      </c>
      <c r="G23" s="1261">
        <v>222.9</v>
      </c>
      <c r="H23" s="1261">
        <v>161.30000000000001</v>
      </c>
      <c r="I23" s="1261">
        <v>156.80000000000001</v>
      </c>
      <c r="J23" s="1261">
        <v>149.19999999999999</v>
      </c>
      <c r="K23" s="1261">
        <v>156.30000000000001</v>
      </c>
      <c r="L23" s="1261">
        <v>194.5</v>
      </c>
      <c r="M23" s="1261">
        <v>192.3</v>
      </c>
      <c r="N23" s="1261">
        <v>195</v>
      </c>
      <c r="O23" s="1261">
        <v>196.6</v>
      </c>
      <c r="P23" s="1261">
        <v>194.5</v>
      </c>
      <c r="Q23" s="1261">
        <v>193.1</v>
      </c>
      <c r="R23" s="1261">
        <v>198.1</v>
      </c>
      <c r="S23" s="1261">
        <v>191.6</v>
      </c>
      <c r="T23" s="1261">
        <v>224.9</v>
      </c>
      <c r="U23" s="1261">
        <v>193.6</v>
      </c>
      <c r="V23" s="1261">
        <v>194.5</v>
      </c>
      <c r="W23" s="1261">
        <v>202.7</v>
      </c>
      <c r="X23" s="1261">
        <v>168.4</v>
      </c>
      <c r="Y23" s="1261">
        <v>172</v>
      </c>
      <c r="Z23" s="1261">
        <v>166.7</v>
      </c>
      <c r="AA23" s="1261">
        <v>199</v>
      </c>
      <c r="AB23" s="1261">
        <v>197.7</v>
      </c>
      <c r="AC23" s="1261">
        <v>198.7</v>
      </c>
      <c r="AD23" s="1261">
        <v>197.4</v>
      </c>
      <c r="AE23" s="1261">
        <v>199.3</v>
      </c>
      <c r="AF23" s="1261">
        <v>198.8</v>
      </c>
      <c r="AG23" s="1261">
        <v>204.3</v>
      </c>
      <c r="AH23" s="1261">
        <v>198.4</v>
      </c>
      <c r="AI23" s="1261">
        <v>188.9</v>
      </c>
      <c r="AJ23" s="1261">
        <v>181.4</v>
      </c>
      <c r="AK23" s="1261">
        <v>160.69999999999999</v>
      </c>
      <c r="AL23" s="1261">
        <v>152</v>
      </c>
      <c r="AM23" s="1261">
        <v>165.2</v>
      </c>
      <c r="AN23" s="1261">
        <v>163.9</v>
      </c>
      <c r="AO23" s="1261">
        <v>145.1</v>
      </c>
      <c r="AP23" s="1261">
        <v>165.1</v>
      </c>
      <c r="AQ23" s="1261">
        <v>152</v>
      </c>
      <c r="AR23" s="1261">
        <v>164.5</v>
      </c>
      <c r="AS23" s="1261">
        <v>155.6</v>
      </c>
      <c r="AT23" s="1261">
        <v>153.5</v>
      </c>
      <c r="AU23" s="1261">
        <v>152.80000000000001</v>
      </c>
      <c r="AV23" s="1261">
        <v>218.6</v>
      </c>
      <c r="AW23" s="1261">
        <v>162.6</v>
      </c>
      <c r="AX23" s="1261">
        <v>163.4</v>
      </c>
      <c r="AY23" s="1261">
        <v>209</v>
      </c>
      <c r="AZ23" s="1261">
        <v>182.2</v>
      </c>
      <c r="BA23" s="1261">
        <v>205.9</v>
      </c>
      <c r="BB23" s="1261">
        <v>186.2</v>
      </c>
      <c r="BC23" s="1261">
        <v>196.5</v>
      </c>
      <c r="BD23" s="1261">
        <v>184</v>
      </c>
      <c r="BE23" s="1261">
        <v>164.9</v>
      </c>
      <c r="BF23" s="1261">
        <v>166.9</v>
      </c>
      <c r="BG23" s="1261">
        <v>163</v>
      </c>
      <c r="BH23" s="1261">
        <v>185.2</v>
      </c>
      <c r="BI23" s="1261">
        <v>170.3</v>
      </c>
      <c r="BJ23" s="1261">
        <v>164.5</v>
      </c>
      <c r="BK23" s="1261">
        <v>167.1</v>
      </c>
      <c r="BL23" s="1261">
        <v>168</v>
      </c>
      <c r="BM23" s="1261">
        <v>165.9</v>
      </c>
      <c r="BN23" s="1261">
        <v>172</v>
      </c>
      <c r="BO23" s="1261">
        <v>162.1</v>
      </c>
      <c r="BP23" s="1261">
        <v>156.30000000000001</v>
      </c>
      <c r="BQ23" s="1261">
        <v>147.6</v>
      </c>
      <c r="BR23" s="1261">
        <v>154.5</v>
      </c>
      <c r="BS23" s="1261">
        <v>152.4</v>
      </c>
      <c r="BT23" s="1261">
        <v>160.69999999999999</v>
      </c>
      <c r="BU23" s="1261">
        <v>167.5</v>
      </c>
      <c r="BV23" s="1261">
        <v>156.9</v>
      </c>
      <c r="BW23" s="1261">
        <v>154.4</v>
      </c>
      <c r="BX23" s="1261">
        <v>161.9</v>
      </c>
      <c r="BY23" s="1261">
        <v>147.6</v>
      </c>
      <c r="BZ23" s="1261">
        <v>159.4</v>
      </c>
      <c r="CA23" s="1261">
        <v>161.80000000000001</v>
      </c>
      <c r="CB23" s="1261">
        <v>169.1</v>
      </c>
      <c r="CC23" s="1261">
        <v>211.8</v>
      </c>
      <c r="CD23" s="1261">
        <v>199.2</v>
      </c>
      <c r="CE23" s="1261">
        <v>197.6</v>
      </c>
      <c r="CF23" s="1261">
        <v>201.9</v>
      </c>
      <c r="CG23" s="1261">
        <v>201.9</v>
      </c>
      <c r="CH23" s="1261">
        <v>196.9</v>
      </c>
      <c r="CI23" s="1261">
        <v>185.1</v>
      </c>
      <c r="CJ23" s="1261">
        <v>187.1</v>
      </c>
      <c r="CK23" s="1261">
        <v>198.2</v>
      </c>
      <c r="CL23" s="1261">
        <v>179.2</v>
      </c>
      <c r="CM23" s="1261">
        <v>186.9</v>
      </c>
      <c r="CN23" s="1261">
        <v>187.8</v>
      </c>
      <c r="CO23" s="1261">
        <v>176</v>
      </c>
      <c r="CP23" s="1261">
        <v>156.69999999999999</v>
      </c>
      <c r="CQ23" s="1261">
        <v>166.3</v>
      </c>
      <c r="CR23" s="1261">
        <v>173.7</v>
      </c>
      <c r="CS23" s="1261">
        <v>168.6</v>
      </c>
      <c r="CT23" s="1261">
        <v>191.8</v>
      </c>
      <c r="CU23" s="1261">
        <v>203.1</v>
      </c>
      <c r="CV23" s="1261">
        <v>188</v>
      </c>
      <c r="CW23" s="1261">
        <v>152.80000000000001</v>
      </c>
      <c r="CX23" s="1261">
        <v>156.6</v>
      </c>
      <c r="CY23" s="1261">
        <v>185.6</v>
      </c>
      <c r="CZ23" s="1261">
        <v>172.3</v>
      </c>
      <c r="DA23" s="1261">
        <v>187.2</v>
      </c>
      <c r="DB23" s="1261">
        <v>163.69999999999999</v>
      </c>
      <c r="DC23" s="1261">
        <v>165.3</v>
      </c>
      <c r="DD23" s="1261">
        <v>166</v>
      </c>
      <c r="DE23" s="1261">
        <v>161.69999999999999</v>
      </c>
      <c r="DF23" s="1261">
        <v>165</v>
      </c>
      <c r="DG23" s="1261">
        <v>191.5</v>
      </c>
      <c r="DH23" s="1261">
        <v>176.5</v>
      </c>
      <c r="DI23" s="1261">
        <v>174</v>
      </c>
      <c r="DJ23" s="1261">
        <v>173.5</v>
      </c>
      <c r="DK23" s="1261">
        <v>196.8</v>
      </c>
      <c r="DL23" s="1261">
        <v>200.5</v>
      </c>
      <c r="DM23" s="1261">
        <v>203.6</v>
      </c>
      <c r="DN23" s="1261">
        <v>202</v>
      </c>
      <c r="DO23" s="1261">
        <v>198.6</v>
      </c>
      <c r="DP23" s="1261">
        <v>163</v>
      </c>
      <c r="DQ23" s="1261">
        <v>178.1</v>
      </c>
      <c r="DR23" s="1261">
        <v>172.9</v>
      </c>
      <c r="DS23" s="1261">
        <v>184.4</v>
      </c>
      <c r="DT23" s="1261">
        <v>239.9</v>
      </c>
      <c r="DU23" s="1261">
        <v>179.6</v>
      </c>
      <c r="DV23" s="1261">
        <v>178.8</v>
      </c>
      <c r="DW23" s="1261">
        <v>176.9</v>
      </c>
      <c r="DX23" s="1261">
        <v>171.3</v>
      </c>
      <c r="DY23" s="1261">
        <v>217.5</v>
      </c>
      <c r="DZ23" s="1261">
        <v>145.1</v>
      </c>
      <c r="EA23" s="1261">
        <v>145.80000000000001</v>
      </c>
      <c r="EB23" s="1261">
        <v>144</v>
      </c>
      <c r="EC23" s="1261">
        <v>145.1</v>
      </c>
      <c r="ED23" s="1261">
        <v>142.69999999999999</v>
      </c>
      <c r="EE23" s="1261">
        <v>154.30000000000001</v>
      </c>
      <c r="EF23" s="1261">
        <v>175.7</v>
      </c>
      <c r="EG23" s="1261">
        <v>168.4</v>
      </c>
      <c r="EH23" s="1261">
        <v>168.1</v>
      </c>
      <c r="EI23" s="1261">
        <v>181.6</v>
      </c>
      <c r="EJ23" s="1261">
        <v>171.2</v>
      </c>
      <c r="EK23" s="1261">
        <v>165.3</v>
      </c>
      <c r="EL23" s="1261">
        <v>174</v>
      </c>
      <c r="EM23" s="1261">
        <v>166</v>
      </c>
      <c r="EN23" s="1261">
        <v>178.5</v>
      </c>
      <c r="EO23" s="1261">
        <v>172.8</v>
      </c>
      <c r="EP23" s="1261">
        <v>152.5</v>
      </c>
      <c r="EQ23" s="1261">
        <v>153.30000000000001</v>
      </c>
      <c r="ER23" s="1261">
        <v>146.80000000000001</v>
      </c>
      <c r="ES23" s="1261">
        <v>181.3</v>
      </c>
      <c r="ET23" s="1261">
        <v>183.6</v>
      </c>
      <c r="EU23" s="1261">
        <v>188.3</v>
      </c>
      <c r="EV23" s="1261">
        <v>171.9</v>
      </c>
      <c r="EW23" s="1261">
        <v>176.5</v>
      </c>
      <c r="EX23" s="1261">
        <v>209.5</v>
      </c>
      <c r="EY23" s="1261">
        <v>181.7</v>
      </c>
      <c r="EZ23" s="1261">
        <v>180.7</v>
      </c>
      <c r="FA23" s="1261">
        <v>181.3</v>
      </c>
      <c r="FB23" s="1261">
        <v>192.9</v>
      </c>
      <c r="FC23" s="1261">
        <v>150.80000000000001</v>
      </c>
      <c r="FD23" s="1261">
        <v>144.30000000000001</v>
      </c>
      <c r="FE23" s="1261">
        <v>148.19999999999999</v>
      </c>
      <c r="FF23" s="1261">
        <v>151.1</v>
      </c>
      <c r="FG23" s="1261">
        <v>155.69999999999999</v>
      </c>
      <c r="FH23" s="1261">
        <v>148</v>
      </c>
      <c r="FI23" s="1261">
        <v>157.19999999999999</v>
      </c>
      <c r="FJ23" s="1261">
        <v>159.80000000000001</v>
      </c>
      <c r="FK23" s="1261">
        <v>143.5</v>
      </c>
      <c r="FL23" s="1261">
        <v>147.30000000000001</v>
      </c>
      <c r="FM23" s="1261">
        <v>146.4</v>
      </c>
      <c r="FN23" s="1261">
        <v>149.80000000000001</v>
      </c>
      <c r="FO23" s="1261">
        <v>141.69999999999999</v>
      </c>
      <c r="FP23" s="1261">
        <v>155.5</v>
      </c>
      <c r="FQ23" s="1261">
        <v>141.1</v>
      </c>
      <c r="FR23" s="1261">
        <v>150.1</v>
      </c>
      <c r="FS23" s="1261">
        <v>160.9</v>
      </c>
      <c r="FT23" s="1261">
        <v>144.6</v>
      </c>
      <c r="FU23" s="1261">
        <v>139.1</v>
      </c>
      <c r="FV23" s="1261">
        <v>150.80000000000001</v>
      </c>
      <c r="FW23" s="1261">
        <v>146.69999999999999</v>
      </c>
      <c r="FX23" s="1261">
        <v>146.1</v>
      </c>
      <c r="FY23" s="1261">
        <v>155.1</v>
      </c>
      <c r="FZ23" s="1261">
        <v>160.4</v>
      </c>
      <c r="GA23" s="1261">
        <v>158.30000000000001</v>
      </c>
      <c r="GB23" s="1261">
        <v>156.69999999999999</v>
      </c>
      <c r="GC23" s="1261">
        <v>172.5</v>
      </c>
      <c r="GD23" s="1261">
        <v>160</v>
      </c>
      <c r="GE23" s="1261">
        <v>161.9</v>
      </c>
      <c r="GF23" s="1251">
        <f t="shared" si="2"/>
        <v>160.35</v>
      </c>
      <c r="GG23" s="1251">
        <f t="shared" si="1"/>
        <v>166.6</v>
      </c>
      <c r="GH23" s="1261">
        <v>160.69999999999999</v>
      </c>
      <c r="GI23" s="1261">
        <v>155.6</v>
      </c>
      <c r="GJ23" s="1261">
        <v>188.5</v>
      </c>
      <c r="GK23" s="1261">
        <v>173</v>
      </c>
      <c r="GL23" s="1261">
        <v>186.3</v>
      </c>
      <c r="GM23" s="1261">
        <v>174.6</v>
      </c>
      <c r="GN23" s="1261">
        <v>177.4</v>
      </c>
      <c r="GO23" s="1261">
        <v>175.5</v>
      </c>
      <c r="GP23" s="1261">
        <v>182.5</v>
      </c>
      <c r="GQ23" s="1261">
        <v>180</v>
      </c>
      <c r="GR23" s="1261">
        <v>187.3</v>
      </c>
      <c r="GS23" s="1261">
        <v>182.8</v>
      </c>
      <c r="GT23" s="1261">
        <v>155.19999999999999</v>
      </c>
      <c r="GU23" s="1261">
        <v>205.4</v>
      </c>
      <c r="GV23" s="1261">
        <v>206.6</v>
      </c>
      <c r="GW23" s="1261">
        <v>203</v>
      </c>
      <c r="GX23" s="1261">
        <v>198.9</v>
      </c>
      <c r="GY23" s="1261">
        <v>198.8</v>
      </c>
      <c r="GZ23" s="1261">
        <v>200.1</v>
      </c>
      <c r="HA23" s="1261">
        <v>197.4</v>
      </c>
      <c r="HB23" s="1261">
        <v>205.6</v>
      </c>
      <c r="HC23" s="1261">
        <v>199.6</v>
      </c>
      <c r="HD23" s="1261">
        <v>188.5</v>
      </c>
      <c r="HE23" s="759"/>
      <c r="HF23" s="759">
        <f t="shared" si="0"/>
        <v>239.9</v>
      </c>
    </row>
    <row r="24" spans="1:214" ht="22.15" customHeight="1">
      <c r="A24" s="1249">
        <v>2008</v>
      </c>
      <c r="B24" s="1261">
        <v>150.30000000000001</v>
      </c>
      <c r="C24" s="1261">
        <v>146.9</v>
      </c>
      <c r="D24" s="1261">
        <v>143.69999999999999</v>
      </c>
      <c r="E24" s="1261">
        <v>138.4</v>
      </c>
      <c r="F24" s="1261">
        <v>138.80000000000001</v>
      </c>
      <c r="G24" s="1261">
        <v>210.8</v>
      </c>
      <c r="H24" s="1261">
        <v>152.19999999999999</v>
      </c>
      <c r="I24" s="1261">
        <v>148.4</v>
      </c>
      <c r="J24" s="1261">
        <v>138.6</v>
      </c>
      <c r="K24" s="1261">
        <v>145.4</v>
      </c>
      <c r="L24" s="1261">
        <v>182.7</v>
      </c>
      <c r="M24" s="1261">
        <v>179.8</v>
      </c>
      <c r="N24" s="1261">
        <v>183.2</v>
      </c>
      <c r="O24" s="1261">
        <v>184.7</v>
      </c>
      <c r="P24" s="1261">
        <v>182.6</v>
      </c>
      <c r="Q24" s="1261">
        <v>181.3</v>
      </c>
      <c r="R24" s="1261">
        <v>186</v>
      </c>
      <c r="S24" s="1261">
        <v>179.9</v>
      </c>
      <c r="T24" s="1261">
        <v>210.6</v>
      </c>
      <c r="U24" s="1261">
        <v>181.5</v>
      </c>
      <c r="V24" s="1261">
        <v>183.2</v>
      </c>
      <c r="W24" s="1261">
        <v>191.6</v>
      </c>
      <c r="X24" s="1261">
        <v>158.80000000000001</v>
      </c>
      <c r="Y24" s="1261">
        <v>161.9</v>
      </c>
      <c r="Z24" s="1261">
        <v>157.9</v>
      </c>
      <c r="AA24" s="1261">
        <v>185.8</v>
      </c>
      <c r="AB24" s="1261">
        <v>184.8</v>
      </c>
      <c r="AC24" s="1261">
        <v>185.7</v>
      </c>
      <c r="AD24" s="1261">
        <v>184.5</v>
      </c>
      <c r="AE24" s="1261">
        <v>186.1</v>
      </c>
      <c r="AF24" s="1261">
        <v>185.2</v>
      </c>
      <c r="AG24" s="1261">
        <v>189.2</v>
      </c>
      <c r="AH24" s="1261">
        <v>185.3</v>
      </c>
      <c r="AI24" s="1261">
        <v>177.5</v>
      </c>
      <c r="AJ24" s="1261">
        <v>170.4</v>
      </c>
      <c r="AK24" s="1261">
        <v>149.6</v>
      </c>
      <c r="AL24" s="1261">
        <v>142.5</v>
      </c>
      <c r="AM24" s="1261">
        <v>152.9</v>
      </c>
      <c r="AN24" s="1261">
        <v>153</v>
      </c>
      <c r="AO24" s="1261">
        <v>135.30000000000001</v>
      </c>
      <c r="AP24" s="1261">
        <v>155.6</v>
      </c>
      <c r="AQ24" s="1261">
        <v>140.4</v>
      </c>
      <c r="AR24" s="1261">
        <v>153.19999999999999</v>
      </c>
      <c r="AS24" s="1261">
        <v>143.9</v>
      </c>
      <c r="AT24" s="1261">
        <v>142.5</v>
      </c>
      <c r="AU24" s="1261">
        <v>141.1</v>
      </c>
      <c r="AV24" s="1261">
        <v>205.5</v>
      </c>
      <c r="AW24" s="1261">
        <v>153.19999999999999</v>
      </c>
      <c r="AX24" s="1261">
        <v>152.80000000000001</v>
      </c>
      <c r="AY24" s="1261">
        <v>195.7</v>
      </c>
      <c r="AZ24" s="1261">
        <v>168.7</v>
      </c>
      <c r="BA24" s="1261">
        <v>185.5</v>
      </c>
      <c r="BB24" s="1261">
        <v>172.2</v>
      </c>
      <c r="BC24" s="1261">
        <v>180.2</v>
      </c>
      <c r="BD24" s="1261">
        <v>168.5</v>
      </c>
      <c r="BE24" s="1261">
        <v>152.4</v>
      </c>
      <c r="BF24" s="1261">
        <v>155.80000000000001</v>
      </c>
      <c r="BG24" s="1261">
        <v>151</v>
      </c>
      <c r="BH24" s="1261">
        <v>169</v>
      </c>
      <c r="BI24" s="1261">
        <v>159.19999999999999</v>
      </c>
      <c r="BJ24" s="1261">
        <v>153</v>
      </c>
      <c r="BK24" s="1261">
        <v>153.1</v>
      </c>
      <c r="BL24" s="1261">
        <v>155.9</v>
      </c>
      <c r="BM24" s="1261">
        <v>157.30000000000001</v>
      </c>
      <c r="BN24" s="1261">
        <v>163.4</v>
      </c>
      <c r="BO24" s="1261">
        <v>152.4</v>
      </c>
      <c r="BP24" s="1261">
        <v>147.80000000000001</v>
      </c>
      <c r="BQ24" s="1261">
        <v>139.19999999999999</v>
      </c>
      <c r="BR24" s="1261">
        <v>144.9</v>
      </c>
      <c r="BS24" s="1261">
        <v>143.1</v>
      </c>
      <c r="BT24" s="1261">
        <v>152</v>
      </c>
      <c r="BU24" s="1261">
        <v>156.80000000000001</v>
      </c>
      <c r="BV24" s="1261">
        <v>144</v>
      </c>
      <c r="BW24" s="1261">
        <v>141.5</v>
      </c>
      <c r="BX24" s="1261">
        <v>149.30000000000001</v>
      </c>
      <c r="BY24" s="1261">
        <v>135.9</v>
      </c>
      <c r="BZ24" s="1261">
        <v>149.1</v>
      </c>
      <c r="CA24" s="1261">
        <v>150.9</v>
      </c>
      <c r="CB24" s="1261">
        <v>157.69999999999999</v>
      </c>
      <c r="CC24" s="1261">
        <v>198.6</v>
      </c>
      <c r="CD24" s="1261">
        <v>186.4</v>
      </c>
      <c r="CE24" s="1261">
        <v>185.1</v>
      </c>
      <c r="CF24" s="1261">
        <v>188.7</v>
      </c>
      <c r="CG24" s="1261">
        <v>189.1</v>
      </c>
      <c r="CH24" s="1261">
        <v>184.5</v>
      </c>
      <c r="CI24" s="1261">
        <v>171.3</v>
      </c>
      <c r="CJ24" s="1261">
        <v>173.7</v>
      </c>
      <c r="CK24" s="1261">
        <v>184.5</v>
      </c>
      <c r="CL24" s="1261">
        <v>169.6</v>
      </c>
      <c r="CM24" s="1261">
        <v>176.4</v>
      </c>
      <c r="CN24" s="1261">
        <v>177</v>
      </c>
      <c r="CO24" s="1261">
        <v>164.4</v>
      </c>
      <c r="CP24" s="1261">
        <v>140.19999999999999</v>
      </c>
      <c r="CQ24" s="1261">
        <v>155.69999999999999</v>
      </c>
      <c r="CR24" s="1261">
        <v>161.6</v>
      </c>
      <c r="CS24" s="1261">
        <v>158.69999999999999</v>
      </c>
      <c r="CT24" s="1261">
        <v>177.4</v>
      </c>
      <c r="CU24" s="1261">
        <v>190.6</v>
      </c>
      <c r="CV24" s="1261">
        <v>175</v>
      </c>
      <c r="CW24" s="1261">
        <v>141.80000000000001</v>
      </c>
      <c r="CX24" s="1261">
        <v>147.1</v>
      </c>
      <c r="CY24" s="1261">
        <v>175.5</v>
      </c>
      <c r="CZ24" s="1261">
        <v>164.2</v>
      </c>
      <c r="DA24" s="1261">
        <v>176.2</v>
      </c>
      <c r="DB24" s="1261">
        <v>152.9</v>
      </c>
      <c r="DC24" s="1261">
        <v>153.1</v>
      </c>
      <c r="DD24" s="1261">
        <v>154.6</v>
      </c>
      <c r="DE24" s="1261">
        <v>152</v>
      </c>
      <c r="DF24" s="1261">
        <v>154.80000000000001</v>
      </c>
      <c r="DG24" s="1261">
        <v>176.2</v>
      </c>
      <c r="DH24" s="1261">
        <v>167</v>
      </c>
      <c r="DI24" s="1261">
        <v>162.5</v>
      </c>
      <c r="DJ24" s="1261">
        <v>161.9</v>
      </c>
      <c r="DK24" s="1261">
        <v>184</v>
      </c>
      <c r="DL24" s="1261">
        <v>187.3</v>
      </c>
      <c r="DM24" s="1261">
        <v>189.6</v>
      </c>
      <c r="DN24" s="1261">
        <v>188.7</v>
      </c>
      <c r="DO24" s="1261">
        <v>185.6</v>
      </c>
      <c r="DP24" s="1261">
        <v>152.6</v>
      </c>
      <c r="DQ24" s="1261">
        <v>166</v>
      </c>
      <c r="DR24" s="1261">
        <v>160.69999999999999</v>
      </c>
      <c r="DS24" s="1261">
        <v>173.9</v>
      </c>
      <c r="DT24" s="1261">
        <v>226.8</v>
      </c>
      <c r="DU24" s="1261">
        <v>168</v>
      </c>
      <c r="DV24" s="1261">
        <v>167.2</v>
      </c>
      <c r="DW24" s="1261">
        <v>165.9</v>
      </c>
      <c r="DX24" s="1261">
        <v>161.6</v>
      </c>
      <c r="DY24" s="1261">
        <v>202.1</v>
      </c>
      <c r="DZ24" s="1261">
        <v>135.80000000000001</v>
      </c>
      <c r="EA24" s="1261">
        <v>136.6</v>
      </c>
      <c r="EB24" s="1261">
        <v>134.6</v>
      </c>
      <c r="EC24" s="1261">
        <v>135.30000000000001</v>
      </c>
      <c r="ED24" s="1261">
        <v>133.80000000000001</v>
      </c>
      <c r="EE24" s="1261">
        <v>145</v>
      </c>
      <c r="EF24" s="1261">
        <v>165.4</v>
      </c>
      <c r="EG24" s="1261">
        <v>158.4</v>
      </c>
      <c r="EH24" s="1261">
        <v>159</v>
      </c>
      <c r="EI24" s="1261">
        <v>170.6</v>
      </c>
      <c r="EJ24" s="1261">
        <v>160.19999999999999</v>
      </c>
      <c r="EK24" s="1261">
        <v>157.5</v>
      </c>
      <c r="EL24" s="1261">
        <v>163.9</v>
      </c>
      <c r="EM24" s="1261">
        <v>157.5</v>
      </c>
      <c r="EN24" s="1261">
        <v>168.2</v>
      </c>
      <c r="EO24" s="1261">
        <v>161.5</v>
      </c>
      <c r="EP24" s="1261">
        <v>141.30000000000001</v>
      </c>
      <c r="EQ24" s="1261">
        <v>140.6</v>
      </c>
      <c r="ER24" s="1261">
        <v>136.19999999999999</v>
      </c>
      <c r="ES24" s="1261">
        <v>172.3</v>
      </c>
      <c r="ET24" s="1261">
        <v>174.7</v>
      </c>
      <c r="EU24" s="1261">
        <v>175.7</v>
      </c>
      <c r="EV24" s="1261">
        <v>161</v>
      </c>
      <c r="EW24" s="1261">
        <v>165.7</v>
      </c>
      <c r="EX24" s="1261">
        <v>196.2</v>
      </c>
      <c r="EY24" s="1261">
        <v>169.2</v>
      </c>
      <c r="EZ24" s="1261">
        <v>169.3</v>
      </c>
      <c r="FA24" s="1261">
        <v>167.9</v>
      </c>
      <c r="FB24" s="1261">
        <v>178.2</v>
      </c>
      <c r="FC24" s="1261">
        <v>142.1</v>
      </c>
      <c r="FD24" s="1261">
        <v>134.80000000000001</v>
      </c>
      <c r="FE24" s="1261">
        <v>138.4</v>
      </c>
      <c r="FF24" s="1261">
        <v>141.30000000000001</v>
      </c>
      <c r="FG24" s="1261">
        <v>136.69999999999999</v>
      </c>
      <c r="FH24" s="1261">
        <v>133.4</v>
      </c>
      <c r="FI24" s="1261">
        <v>146</v>
      </c>
      <c r="FJ24" s="1261">
        <v>147.5</v>
      </c>
      <c r="FK24" s="1261">
        <v>132.4</v>
      </c>
      <c r="FL24" s="1261">
        <v>137</v>
      </c>
      <c r="FM24" s="1261">
        <v>137.5</v>
      </c>
      <c r="FN24" s="1261">
        <v>140.30000000000001</v>
      </c>
      <c r="FO24" s="1261">
        <v>133.19999999999999</v>
      </c>
      <c r="FP24" s="1261">
        <v>144.1</v>
      </c>
      <c r="FQ24" s="1261">
        <v>130.69999999999999</v>
      </c>
      <c r="FR24" s="1261">
        <v>138.30000000000001</v>
      </c>
      <c r="FS24" s="1261">
        <v>149.1</v>
      </c>
      <c r="FT24" s="1261">
        <v>134.69999999999999</v>
      </c>
      <c r="FU24" s="1261">
        <v>128.9</v>
      </c>
      <c r="FV24" s="1261">
        <v>141</v>
      </c>
      <c r="FW24" s="1261">
        <v>136.1</v>
      </c>
      <c r="FX24" s="1261">
        <v>136.1</v>
      </c>
      <c r="FY24" s="1261">
        <v>144.80000000000001</v>
      </c>
      <c r="FZ24" s="1261">
        <v>149.69999999999999</v>
      </c>
      <c r="GA24" s="1261">
        <v>147.19999999999999</v>
      </c>
      <c r="GB24" s="1261">
        <v>145.80000000000001</v>
      </c>
      <c r="GC24" s="1261">
        <v>161.80000000000001</v>
      </c>
      <c r="GD24" s="1261">
        <v>150.80000000000001</v>
      </c>
      <c r="GE24" s="1261">
        <v>150.80000000000001</v>
      </c>
      <c r="GF24" s="1251">
        <f t="shared" si="2"/>
        <v>150.85000000000002</v>
      </c>
      <c r="GG24" s="1251">
        <f t="shared" si="1"/>
        <v>156.35000000000002</v>
      </c>
      <c r="GH24" s="1261">
        <v>150.9</v>
      </c>
      <c r="GI24" s="1261">
        <v>145.9</v>
      </c>
      <c r="GJ24" s="1261">
        <v>176.9</v>
      </c>
      <c r="GK24" s="1261">
        <v>162.4</v>
      </c>
      <c r="GL24" s="1261">
        <v>174.9</v>
      </c>
      <c r="GM24" s="1261">
        <v>162.80000000000001</v>
      </c>
      <c r="GN24" s="1261">
        <v>165.7</v>
      </c>
      <c r="GO24" s="1261">
        <v>165.6</v>
      </c>
      <c r="GP24" s="1261">
        <v>172.2</v>
      </c>
      <c r="GQ24" s="1261">
        <v>168.4</v>
      </c>
      <c r="GR24" s="1261">
        <v>176.3</v>
      </c>
      <c r="GS24" s="1261">
        <v>173</v>
      </c>
      <c r="GT24" s="1261">
        <v>146.5</v>
      </c>
      <c r="GU24" s="1261">
        <v>190.2</v>
      </c>
      <c r="GV24" s="1261">
        <v>191</v>
      </c>
      <c r="GW24" s="1261">
        <v>194.3</v>
      </c>
      <c r="GX24" s="1261">
        <v>188.6</v>
      </c>
      <c r="GY24" s="1261">
        <v>186.7</v>
      </c>
      <c r="GZ24" s="1261">
        <v>188</v>
      </c>
      <c r="HA24" s="1261">
        <v>186.8</v>
      </c>
      <c r="HB24" s="1261">
        <v>194.6</v>
      </c>
      <c r="HC24" s="1261">
        <v>184.9</v>
      </c>
      <c r="HD24" s="1261">
        <v>174.4</v>
      </c>
      <c r="HE24" s="759"/>
      <c r="HF24" s="759">
        <f t="shared" si="0"/>
        <v>226.8</v>
      </c>
    </row>
    <row r="25" spans="1:214" ht="22.15" customHeight="1">
      <c r="A25" s="1249">
        <v>2007</v>
      </c>
      <c r="B25" s="1261">
        <v>146.9</v>
      </c>
      <c r="C25" s="1261">
        <v>143.30000000000001</v>
      </c>
      <c r="D25" s="1261">
        <v>140.30000000000001</v>
      </c>
      <c r="E25" s="1261">
        <v>134.80000000000001</v>
      </c>
      <c r="F25" s="1261">
        <v>135.4</v>
      </c>
      <c r="G25" s="1261">
        <v>206.8</v>
      </c>
      <c r="H25" s="1261">
        <v>147.69999999999999</v>
      </c>
      <c r="I25" s="1261">
        <v>143.1</v>
      </c>
      <c r="J25" s="1261">
        <v>134.80000000000001</v>
      </c>
      <c r="K25" s="1261">
        <v>141.69999999999999</v>
      </c>
      <c r="L25" s="1261">
        <v>175.1</v>
      </c>
      <c r="M25" s="1261">
        <v>173.7</v>
      </c>
      <c r="N25" s="1261">
        <v>176.7</v>
      </c>
      <c r="O25" s="1261">
        <v>177.5</v>
      </c>
      <c r="P25" s="1261">
        <v>176.2</v>
      </c>
      <c r="Q25" s="1261">
        <v>174.7</v>
      </c>
      <c r="R25" s="1261">
        <v>179.1</v>
      </c>
      <c r="S25" s="1261">
        <v>173.6</v>
      </c>
      <c r="T25" s="1261">
        <v>201.1</v>
      </c>
      <c r="U25" s="1261">
        <v>175.2</v>
      </c>
      <c r="V25" s="1261">
        <v>178.2</v>
      </c>
      <c r="W25" s="1261">
        <v>185.9</v>
      </c>
      <c r="X25" s="1261">
        <v>152.6</v>
      </c>
      <c r="Y25" s="1261">
        <v>155.9</v>
      </c>
      <c r="Z25" s="1261">
        <v>152.30000000000001</v>
      </c>
      <c r="AA25" s="1261">
        <v>179.6</v>
      </c>
      <c r="AB25" s="1261">
        <v>178.3</v>
      </c>
      <c r="AC25" s="1261">
        <v>179.6</v>
      </c>
      <c r="AD25" s="1261">
        <v>178</v>
      </c>
      <c r="AE25" s="1261">
        <v>179.5</v>
      </c>
      <c r="AF25" s="1261">
        <v>178.6</v>
      </c>
      <c r="AG25" s="1261">
        <v>183.3</v>
      </c>
      <c r="AH25" s="1261">
        <v>179.1</v>
      </c>
      <c r="AI25" s="1261">
        <v>173.4</v>
      </c>
      <c r="AJ25" s="1261">
        <v>163.1</v>
      </c>
      <c r="AK25" s="1261">
        <v>145.6</v>
      </c>
      <c r="AL25" s="1261">
        <v>139</v>
      </c>
      <c r="AM25" s="1261">
        <v>148.9</v>
      </c>
      <c r="AN25" s="1261">
        <v>148.1</v>
      </c>
      <c r="AO25" s="1261">
        <v>131.69999999999999</v>
      </c>
      <c r="AP25" s="1261">
        <v>152</v>
      </c>
      <c r="AQ25" s="1261">
        <v>135.80000000000001</v>
      </c>
      <c r="AR25" s="1261">
        <v>148</v>
      </c>
      <c r="AS25" s="1261">
        <v>140.1</v>
      </c>
      <c r="AT25" s="1261">
        <v>138.1</v>
      </c>
      <c r="AU25" s="1261">
        <v>136.9</v>
      </c>
      <c r="AV25" s="1261">
        <v>200.4</v>
      </c>
      <c r="AW25" s="1261">
        <v>148</v>
      </c>
      <c r="AX25" s="1261">
        <v>148.1</v>
      </c>
      <c r="AY25" s="1261">
        <v>186.5</v>
      </c>
      <c r="AZ25" s="1261">
        <v>160.5</v>
      </c>
      <c r="BA25" s="1261">
        <v>177.7</v>
      </c>
      <c r="BB25" s="1261">
        <v>166</v>
      </c>
      <c r="BC25" s="1261">
        <v>175</v>
      </c>
      <c r="BD25" s="1261">
        <v>159.19999999999999</v>
      </c>
      <c r="BE25" s="1261">
        <v>149</v>
      </c>
      <c r="BF25" s="1261">
        <v>152.6</v>
      </c>
      <c r="BG25" s="1261">
        <v>147.69999999999999</v>
      </c>
      <c r="BH25" s="1261">
        <v>165.4</v>
      </c>
      <c r="BI25" s="1261">
        <v>154.1</v>
      </c>
      <c r="BJ25" s="1261">
        <v>149.69999999999999</v>
      </c>
      <c r="BK25" s="1261">
        <v>149.5</v>
      </c>
      <c r="BL25" s="1261">
        <v>152.69999999999999</v>
      </c>
      <c r="BM25" s="1261">
        <v>152.4</v>
      </c>
      <c r="BN25" s="1261">
        <v>157.6</v>
      </c>
      <c r="BO25" s="1261">
        <v>148.9</v>
      </c>
      <c r="BP25" s="1261">
        <v>144</v>
      </c>
      <c r="BQ25" s="1261">
        <v>135</v>
      </c>
      <c r="BR25" s="1261">
        <v>141</v>
      </c>
      <c r="BS25" s="1261">
        <v>138.69999999999999</v>
      </c>
      <c r="BT25" s="1261">
        <v>147.6</v>
      </c>
      <c r="BU25" s="1261">
        <v>150.9</v>
      </c>
      <c r="BV25" s="1261">
        <v>139.4</v>
      </c>
      <c r="BW25" s="1261">
        <v>138</v>
      </c>
      <c r="BX25" s="1261">
        <v>145.19999999999999</v>
      </c>
      <c r="BY25" s="1261">
        <v>132.4</v>
      </c>
      <c r="BZ25" s="1261">
        <v>146.4</v>
      </c>
      <c r="CA25" s="1261">
        <v>148.19999999999999</v>
      </c>
      <c r="CB25" s="1261">
        <v>152.5</v>
      </c>
      <c r="CC25" s="1261">
        <v>191.8</v>
      </c>
      <c r="CD25" s="1261">
        <v>180.4</v>
      </c>
      <c r="CE25" s="1261">
        <v>179.7</v>
      </c>
      <c r="CF25" s="1261">
        <v>182</v>
      </c>
      <c r="CG25" s="1261">
        <v>181.7</v>
      </c>
      <c r="CH25" s="1261">
        <v>179.1</v>
      </c>
      <c r="CI25" s="1261">
        <v>166.8</v>
      </c>
      <c r="CJ25" s="1261">
        <v>169.1</v>
      </c>
      <c r="CK25" s="1261">
        <v>180.4</v>
      </c>
      <c r="CL25" s="1261">
        <v>166.8</v>
      </c>
      <c r="CM25" s="1261">
        <v>172.5</v>
      </c>
      <c r="CN25" s="1261">
        <v>172.9</v>
      </c>
      <c r="CO25" s="1261">
        <v>161.69999999999999</v>
      </c>
      <c r="CP25" s="1261">
        <v>137.19999999999999</v>
      </c>
      <c r="CQ25" s="1261">
        <v>152.6</v>
      </c>
      <c r="CR25" s="1261">
        <v>158.69999999999999</v>
      </c>
      <c r="CS25" s="1261">
        <v>156.1</v>
      </c>
      <c r="CT25" s="1261">
        <v>174.2</v>
      </c>
      <c r="CU25" s="1261">
        <v>184.5</v>
      </c>
      <c r="CV25" s="1261">
        <v>171.4</v>
      </c>
      <c r="CW25" s="1261">
        <v>137.69999999999999</v>
      </c>
      <c r="CX25" s="1261">
        <v>131.19999999999999</v>
      </c>
      <c r="CY25" s="1261">
        <v>169</v>
      </c>
      <c r="CZ25" s="1261">
        <v>157.80000000000001</v>
      </c>
      <c r="DA25" s="1261">
        <v>170.6</v>
      </c>
      <c r="DB25" s="1261">
        <v>145.30000000000001</v>
      </c>
      <c r="DC25" s="1261">
        <v>147.69999999999999</v>
      </c>
      <c r="DD25" s="1261">
        <v>147.80000000000001</v>
      </c>
      <c r="DE25" s="1261">
        <v>147.69999999999999</v>
      </c>
      <c r="DF25" s="1261">
        <v>150.30000000000001</v>
      </c>
      <c r="DG25" s="1261">
        <v>166.7</v>
      </c>
      <c r="DH25" s="1261">
        <v>161.4</v>
      </c>
      <c r="DI25" s="1261">
        <v>159.30000000000001</v>
      </c>
      <c r="DJ25" s="1261">
        <v>158.69999999999999</v>
      </c>
      <c r="DK25" s="1261">
        <v>179.3</v>
      </c>
      <c r="DL25" s="1261">
        <v>183.3</v>
      </c>
      <c r="DM25" s="1261">
        <v>185.2</v>
      </c>
      <c r="DN25" s="1261">
        <v>184.6</v>
      </c>
      <c r="DO25" s="1261">
        <v>181.7</v>
      </c>
      <c r="DP25" s="1261">
        <v>146.69999999999999</v>
      </c>
      <c r="DQ25" s="1261">
        <v>159.4</v>
      </c>
      <c r="DR25" s="1261">
        <v>155.69999999999999</v>
      </c>
      <c r="DS25" s="1261">
        <v>168.6</v>
      </c>
      <c r="DT25" s="1261">
        <v>215.2</v>
      </c>
      <c r="DU25" s="1261">
        <v>163.5</v>
      </c>
      <c r="DV25" s="1261">
        <v>159.80000000000001</v>
      </c>
      <c r="DW25" s="1261">
        <v>159.80000000000001</v>
      </c>
      <c r="DX25" s="1261">
        <v>155</v>
      </c>
      <c r="DY25" s="1261">
        <v>196.5</v>
      </c>
      <c r="DZ25" s="1261">
        <v>132.80000000000001</v>
      </c>
      <c r="EA25" s="1261">
        <v>133.69999999999999</v>
      </c>
      <c r="EB25" s="1261">
        <v>131.69999999999999</v>
      </c>
      <c r="EC25" s="1261">
        <v>132.1</v>
      </c>
      <c r="ED25" s="1261">
        <v>131</v>
      </c>
      <c r="EE25" s="1261">
        <v>139.80000000000001</v>
      </c>
      <c r="EF25" s="1261">
        <v>159</v>
      </c>
      <c r="EG25" s="1261">
        <v>153.19999999999999</v>
      </c>
      <c r="EH25" s="1261">
        <v>152.4</v>
      </c>
      <c r="EI25" s="1261">
        <v>164.9</v>
      </c>
      <c r="EJ25" s="1261">
        <v>155.1</v>
      </c>
      <c r="EK25" s="1261">
        <v>149.4</v>
      </c>
      <c r="EL25" s="1261">
        <v>158.1</v>
      </c>
      <c r="EM25" s="1261">
        <v>150.30000000000001</v>
      </c>
      <c r="EN25" s="1261">
        <v>161.6</v>
      </c>
      <c r="EO25" s="1261">
        <v>156.69999999999999</v>
      </c>
      <c r="EP25" s="1261">
        <v>136.19999999999999</v>
      </c>
      <c r="EQ25" s="1261">
        <v>135.6</v>
      </c>
      <c r="ER25" s="1261">
        <v>132.5</v>
      </c>
      <c r="ES25" s="1261">
        <v>168.5</v>
      </c>
      <c r="ET25" s="1261">
        <v>169.5</v>
      </c>
      <c r="EU25" s="1261">
        <v>169.4</v>
      </c>
      <c r="EV25" s="1261">
        <v>156</v>
      </c>
      <c r="EW25" s="1261">
        <v>159.4</v>
      </c>
      <c r="EX25" s="1261">
        <v>188.4</v>
      </c>
      <c r="EY25" s="1261">
        <v>163.19999999999999</v>
      </c>
      <c r="EZ25" s="1261">
        <v>164.9</v>
      </c>
      <c r="FA25" s="1261">
        <v>163.1</v>
      </c>
      <c r="FB25" s="1261">
        <v>174.4</v>
      </c>
      <c r="FC25" s="1261">
        <v>139.30000000000001</v>
      </c>
      <c r="FD25" s="1261">
        <v>131.69999999999999</v>
      </c>
      <c r="FE25" s="1261">
        <v>129.5</v>
      </c>
      <c r="FF25" s="1261">
        <v>133</v>
      </c>
      <c r="FG25" s="1261">
        <v>133.69999999999999</v>
      </c>
      <c r="FH25" s="1261">
        <v>130.6</v>
      </c>
      <c r="FI25" s="1261">
        <v>143.1</v>
      </c>
      <c r="FJ25" s="1261">
        <v>144.4</v>
      </c>
      <c r="FK25" s="1261">
        <v>128.5</v>
      </c>
      <c r="FL25" s="1261">
        <v>132.19999999999999</v>
      </c>
      <c r="FM25" s="1261">
        <v>131.6</v>
      </c>
      <c r="FN25" s="1261">
        <v>137.1</v>
      </c>
      <c r="FO25" s="1261">
        <v>128.80000000000001</v>
      </c>
      <c r="FP25" s="1261">
        <v>138.6</v>
      </c>
      <c r="FQ25" s="1261">
        <v>126.2</v>
      </c>
      <c r="FR25" s="1261">
        <v>134.80000000000001</v>
      </c>
      <c r="FS25" s="1261">
        <v>146</v>
      </c>
      <c r="FT25" s="1261">
        <v>130.19999999999999</v>
      </c>
      <c r="FU25" s="1261">
        <v>125</v>
      </c>
      <c r="FV25" s="1261">
        <v>136.4</v>
      </c>
      <c r="FW25" s="1261">
        <v>132.1</v>
      </c>
      <c r="FX25" s="1261">
        <v>132.1</v>
      </c>
      <c r="FY25" s="1261">
        <v>140</v>
      </c>
      <c r="FZ25" s="1261">
        <v>144.6</v>
      </c>
      <c r="GA25" s="1261">
        <v>144.4</v>
      </c>
      <c r="GB25" s="1261">
        <v>143.19999999999999</v>
      </c>
      <c r="GC25" s="1261">
        <v>155</v>
      </c>
      <c r="GD25" s="1261">
        <v>146.19999999999999</v>
      </c>
      <c r="GE25" s="1261">
        <v>146.1</v>
      </c>
      <c r="GF25" s="1251">
        <f t="shared" si="2"/>
        <v>146.75</v>
      </c>
      <c r="GG25" s="1251">
        <f t="shared" si="1"/>
        <v>151.15</v>
      </c>
      <c r="GH25" s="1261">
        <v>147.30000000000001</v>
      </c>
      <c r="GI25" s="1261">
        <v>142.9</v>
      </c>
      <c r="GJ25" s="1261">
        <v>171.4</v>
      </c>
      <c r="GK25" s="1261">
        <v>156.69999999999999</v>
      </c>
      <c r="GL25" s="1261">
        <v>168.7</v>
      </c>
      <c r="GM25" s="1261">
        <v>158.69999999999999</v>
      </c>
      <c r="GN25" s="1261">
        <v>160.1</v>
      </c>
      <c r="GO25" s="1261">
        <v>159.4</v>
      </c>
      <c r="GP25" s="1261">
        <v>164.8</v>
      </c>
      <c r="GQ25" s="1261">
        <v>160.69999999999999</v>
      </c>
      <c r="GR25" s="1261">
        <v>168.9</v>
      </c>
      <c r="GS25" s="1261">
        <v>164.7</v>
      </c>
      <c r="GT25" s="1261">
        <v>141.30000000000001</v>
      </c>
      <c r="GU25" s="1261">
        <v>183.1</v>
      </c>
      <c r="GV25" s="1261">
        <v>184.4</v>
      </c>
      <c r="GW25" s="1261">
        <v>186.8</v>
      </c>
      <c r="GX25" s="1261">
        <v>182.4</v>
      </c>
      <c r="GY25" s="1261">
        <v>181.7</v>
      </c>
      <c r="GZ25" s="1261">
        <v>182.4</v>
      </c>
      <c r="HA25" s="1261">
        <v>182</v>
      </c>
      <c r="HB25" s="1261">
        <v>187.7</v>
      </c>
      <c r="HC25" s="1261">
        <v>180.6</v>
      </c>
      <c r="HD25" s="1261">
        <v>170.1</v>
      </c>
      <c r="HE25" s="759"/>
      <c r="HF25" s="759">
        <f t="shared" si="0"/>
        <v>215.2</v>
      </c>
    </row>
    <row r="26" spans="1:214" ht="22.15" customHeight="1">
      <c r="A26" s="1249">
        <v>2006</v>
      </c>
      <c r="B26" s="1261">
        <v>135.69999999999999</v>
      </c>
      <c r="C26" s="1261">
        <v>133.6</v>
      </c>
      <c r="D26" s="1261">
        <v>126.7</v>
      </c>
      <c r="E26" s="1261">
        <v>124</v>
      </c>
      <c r="F26" s="1261">
        <v>122.2</v>
      </c>
      <c r="G26" s="1261">
        <v>196.4</v>
      </c>
      <c r="H26" s="1261">
        <v>137.9</v>
      </c>
      <c r="I26" s="1261">
        <v>134.80000000000001</v>
      </c>
      <c r="J26" s="1261">
        <v>123.2</v>
      </c>
      <c r="K26" s="1261">
        <v>127.2</v>
      </c>
      <c r="L26" s="1261">
        <v>166.8</v>
      </c>
      <c r="M26" s="1261">
        <v>164.9</v>
      </c>
      <c r="N26" s="1261">
        <v>169.8</v>
      </c>
      <c r="O26" s="1261">
        <v>167.3</v>
      </c>
      <c r="P26" s="1261">
        <v>167.4</v>
      </c>
      <c r="Q26" s="1261">
        <v>166</v>
      </c>
      <c r="R26" s="1261">
        <v>172.2</v>
      </c>
      <c r="S26" s="1261">
        <v>164</v>
      </c>
      <c r="T26" s="1261">
        <v>191.2</v>
      </c>
      <c r="U26" s="1261">
        <v>166.4</v>
      </c>
      <c r="V26" s="1261">
        <v>171</v>
      </c>
      <c r="W26" s="1261">
        <v>177.9</v>
      </c>
      <c r="X26" s="1261">
        <v>146.1</v>
      </c>
      <c r="Y26" s="1261">
        <v>149.19999999999999</v>
      </c>
      <c r="Z26" s="1261">
        <v>145</v>
      </c>
      <c r="AA26" s="1261">
        <v>169.5</v>
      </c>
      <c r="AB26" s="1261">
        <v>168</v>
      </c>
      <c r="AC26" s="1261">
        <v>169.5</v>
      </c>
      <c r="AD26" s="1261">
        <v>167.7</v>
      </c>
      <c r="AE26" s="1261">
        <v>169.8</v>
      </c>
      <c r="AF26" s="1261">
        <v>169.7</v>
      </c>
      <c r="AG26" s="1261">
        <v>173.7</v>
      </c>
      <c r="AH26" s="1261">
        <v>169.1</v>
      </c>
      <c r="AI26" s="1261">
        <v>158.30000000000001</v>
      </c>
      <c r="AJ26" s="1261">
        <v>153</v>
      </c>
      <c r="AK26" s="1261">
        <v>136</v>
      </c>
      <c r="AL26" s="1261">
        <v>126.5</v>
      </c>
      <c r="AM26" s="1261">
        <v>136.69999999999999</v>
      </c>
      <c r="AN26" s="1261">
        <v>134.30000000000001</v>
      </c>
      <c r="AO26" s="1261">
        <v>118.4</v>
      </c>
      <c r="AP26" s="1261">
        <v>136.6</v>
      </c>
      <c r="AQ26" s="1261">
        <v>123.6</v>
      </c>
      <c r="AR26" s="1261">
        <v>139.9</v>
      </c>
      <c r="AS26" s="1261">
        <v>126.3</v>
      </c>
      <c r="AT26" s="1261">
        <v>124.3</v>
      </c>
      <c r="AU26" s="1261">
        <v>124</v>
      </c>
      <c r="AV26" s="1261">
        <v>191.9</v>
      </c>
      <c r="AW26" s="1261">
        <v>141.6</v>
      </c>
      <c r="AX26" s="1261">
        <v>141.19999999999999</v>
      </c>
      <c r="AY26" s="1261">
        <v>177.8</v>
      </c>
      <c r="AZ26" s="1261">
        <v>153.80000000000001</v>
      </c>
      <c r="BA26" s="1261">
        <v>168.7</v>
      </c>
      <c r="BB26" s="1261">
        <v>155.19999999999999</v>
      </c>
      <c r="BC26" s="1261">
        <v>163.30000000000001</v>
      </c>
      <c r="BD26" s="1261">
        <v>152.80000000000001</v>
      </c>
      <c r="BE26" s="1261">
        <v>139.80000000000001</v>
      </c>
      <c r="BF26" s="1261">
        <v>144.4</v>
      </c>
      <c r="BG26" s="1261">
        <v>139.1</v>
      </c>
      <c r="BH26" s="1261">
        <v>154.5</v>
      </c>
      <c r="BI26" s="1261">
        <v>144.6</v>
      </c>
      <c r="BJ26" s="1261">
        <v>141.19999999999999</v>
      </c>
      <c r="BK26" s="1261">
        <v>141.30000000000001</v>
      </c>
      <c r="BL26" s="1261">
        <v>144</v>
      </c>
      <c r="BM26" s="1261">
        <v>145.80000000000001</v>
      </c>
      <c r="BN26" s="1261">
        <v>151.1</v>
      </c>
      <c r="BO26" s="1261">
        <v>142.9</v>
      </c>
      <c r="BP26" s="1261">
        <v>137.30000000000001</v>
      </c>
      <c r="BQ26" s="1261">
        <v>128.4</v>
      </c>
      <c r="BR26" s="1261">
        <v>134.69999999999999</v>
      </c>
      <c r="BS26" s="1261">
        <v>132.9</v>
      </c>
      <c r="BT26" s="1261">
        <v>129</v>
      </c>
      <c r="BU26" s="1261">
        <v>143</v>
      </c>
      <c r="BV26" s="1261">
        <v>129.4</v>
      </c>
      <c r="BW26" s="1261">
        <v>129.80000000000001</v>
      </c>
      <c r="BX26" s="1261">
        <v>135.80000000000001</v>
      </c>
      <c r="BY26" s="1261">
        <v>125.2</v>
      </c>
      <c r="BZ26" s="1261">
        <v>140.19999999999999</v>
      </c>
      <c r="CA26" s="1261">
        <v>139.80000000000001</v>
      </c>
      <c r="CB26" s="1261">
        <v>144.9</v>
      </c>
      <c r="CC26" s="1261">
        <v>180.4</v>
      </c>
      <c r="CD26" s="1261">
        <v>171.6</v>
      </c>
      <c r="CE26" s="1261">
        <v>170.4</v>
      </c>
      <c r="CF26" s="1261">
        <v>172.3</v>
      </c>
      <c r="CG26" s="1261">
        <v>173.5</v>
      </c>
      <c r="CH26" s="1261">
        <v>170.4</v>
      </c>
      <c r="CI26" s="1261">
        <v>157.30000000000001</v>
      </c>
      <c r="CJ26" s="1261">
        <v>159.69999999999999</v>
      </c>
      <c r="CK26" s="1261">
        <v>171.6</v>
      </c>
      <c r="CL26" s="1261">
        <v>161.1</v>
      </c>
      <c r="CM26" s="1261">
        <v>165.5</v>
      </c>
      <c r="CN26" s="1261">
        <v>165.8</v>
      </c>
      <c r="CO26" s="1261">
        <v>153.80000000000001</v>
      </c>
      <c r="CP26" s="1261">
        <v>131.1</v>
      </c>
      <c r="CQ26" s="1261">
        <v>146</v>
      </c>
      <c r="CR26" s="1261">
        <v>152.5</v>
      </c>
      <c r="CS26" s="1261">
        <v>150.6</v>
      </c>
      <c r="CT26" s="1261">
        <v>166.2</v>
      </c>
      <c r="CU26" s="1261">
        <v>173.9</v>
      </c>
      <c r="CV26" s="1261">
        <v>161.9</v>
      </c>
      <c r="CW26" s="1261">
        <v>123.3</v>
      </c>
      <c r="CX26" s="1261">
        <v>117.1</v>
      </c>
      <c r="CY26" s="1261">
        <v>162</v>
      </c>
      <c r="CZ26" s="1261">
        <v>152.4</v>
      </c>
      <c r="DA26" s="1261">
        <v>159.30000000000001</v>
      </c>
      <c r="DB26" s="1261">
        <v>139.4</v>
      </c>
      <c r="DC26" s="1261">
        <v>140.5</v>
      </c>
      <c r="DD26" s="1261">
        <v>140.80000000000001</v>
      </c>
      <c r="DE26" s="1261">
        <v>132.4</v>
      </c>
      <c r="DF26" s="1261">
        <v>140.69999999999999</v>
      </c>
      <c r="DG26" s="1261">
        <v>160</v>
      </c>
      <c r="DH26" s="1261">
        <v>154.5</v>
      </c>
      <c r="DI26" s="1261">
        <v>146.69999999999999</v>
      </c>
      <c r="DJ26" s="1261">
        <v>146.4</v>
      </c>
      <c r="DK26" s="1261">
        <v>167.7</v>
      </c>
      <c r="DL26" s="1261">
        <v>171</v>
      </c>
      <c r="DM26" s="1261">
        <v>173.6</v>
      </c>
      <c r="DN26" s="1261">
        <v>172.2</v>
      </c>
      <c r="DO26" s="1261">
        <v>169.9</v>
      </c>
      <c r="DP26" s="1261">
        <v>140.1</v>
      </c>
      <c r="DQ26" s="1261">
        <v>151.6</v>
      </c>
      <c r="DR26" s="1261">
        <v>147.5</v>
      </c>
      <c r="DS26" s="1261">
        <v>159.19999999999999</v>
      </c>
      <c r="DT26" s="1261">
        <v>204.5</v>
      </c>
      <c r="DU26" s="1261">
        <v>155.19999999999999</v>
      </c>
      <c r="DV26" s="1261">
        <v>151.1</v>
      </c>
      <c r="DW26" s="1261">
        <v>150.9</v>
      </c>
      <c r="DX26" s="1261">
        <v>146.4</v>
      </c>
      <c r="DY26" s="1261">
        <v>186</v>
      </c>
      <c r="DZ26" s="1261">
        <v>125.1</v>
      </c>
      <c r="EA26" s="1261">
        <v>124.6</v>
      </c>
      <c r="EB26" s="1261">
        <v>123.8</v>
      </c>
      <c r="EC26" s="1261">
        <v>124.2</v>
      </c>
      <c r="ED26" s="1261">
        <v>123</v>
      </c>
      <c r="EE26" s="1261">
        <v>133.19999999999999</v>
      </c>
      <c r="EF26" s="1261">
        <v>152.80000000000001</v>
      </c>
      <c r="EG26" s="1261">
        <v>147</v>
      </c>
      <c r="EH26" s="1261">
        <v>144.9</v>
      </c>
      <c r="EI26" s="1261">
        <v>156.9</v>
      </c>
      <c r="EJ26" s="1261">
        <v>146.9</v>
      </c>
      <c r="EK26" s="1261">
        <v>142.9</v>
      </c>
      <c r="EL26" s="1261">
        <v>151.80000000000001</v>
      </c>
      <c r="EM26" s="1261">
        <v>143.4</v>
      </c>
      <c r="EN26" s="1261">
        <v>154.5</v>
      </c>
      <c r="EO26" s="1261">
        <v>150.30000000000001</v>
      </c>
      <c r="EP26" s="1261">
        <v>129.5</v>
      </c>
      <c r="EQ26" s="1261">
        <v>129.5</v>
      </c>
      <c r="ER26" s="1261">
        <v>125.7</v>
      </c>
      <c r="ES26" s="1261">
        <v>160.5</v>
      </c>
      <c r="ET26" s="1261">
        <v>161.69999999999999</v>
      </c>
      <c r="EU26" s="1261">
        <v>160.1</v>
      </c>
      <c r="EV26" s="1261">
        <v>148.69999999999999</v>
      </c>
      <c r="EW26" s="1261">
        <v>150.69999999999999</v>
      </c>
      <c r="EX26" s="1261">
        <v>177.8</v>
      </c>
      <c r="EY26" s="1261">
        <v>155.5</v>
      </c>
      <c r="EZ26" s="1261">
        <v>155</v>
      </c>
      <c r="FA26" s="1261">
        <v>153.9</v>
      </c>
      <c r="FB26" s="1261">
        <v>163.6</v>
      </c>
      <c r="FC26" s="1261">
        <v>122.4</v>
      </c>
      <c r="FD26" s="1261">
        <v>118.7</v>
      </c>
      <c r="FE26" s="1261">
        <v>122.8</v>
      </c>
      <c r="FF26" s="1261">
        <v>126.6</v>
      </c>
      <c r="FG26" s="1261">
        <v>127</v>
      </c>
      <c r="FH26" s="1261">
        <v>123.9</v>
      </c>
      <c r="FI26" s="1261">
        <v>136.5</v>
      </c>
      <c r="FJ26" s="1261">
        <v>135.5</v>
      </c>
      <c r="FK26" s="1261">
        <v>121.6</v>
      </c>
      <c r="FL26" s="1261">
        <v>125.7</v>
      </c>
      <c r="FM26" s="1261">
        <v>125.5</v>
      </c>
      <c r="FN26" s="1261">
        <v>130.1</v>
      </c>
      <c r="FO26" s="1261">
        <v>122</v>
      </c>
      <c r="FP26" s="1261">
        <v>131.1</v>
      </c>
      <c r="FQ26" s="1261">
        <v>120.3</v>
      </c>
      <c r="FR26" s="1261">
        <v>127.6</v>
      </c>
      <c r="FS26" s="1261">
        <v>138.19999999999999</v>
      </c>
      <c r="FT26" s="1261">
        <v>123.2</v>
      </c>
      <c r="FU26" s="1261">
        <v>118.3</v>
      </c>
      <c r="FV26" s="1261">
        <v>129.80000000000001</v>
      </c>
      <c r="FW26" s="1261">
        <v>125.2</v>
      </c>
      <c r="FX26" s="1261">
        <v>125.3</v>
      </c>
      <c r="FY26" s="1261">
        <v>133.4</v>
      </c>
      <c r="FZ26" s="1261">
        <v>137.69999999999999</v>
      </c>
      <c r="GA26" s="1261">
        <v>131.69999999999999</v>
      </c>
      <c r="GB26" s="1261">
        <v>130.69999999999999</v>
      </c>
      <c r="GC26" s="1261">
        <v>146.19999999999999</v>
      </c>
      <c r="GD26" s="1261">
        <v>133.69999999999999</v>
      </c>
      <c r="GE26" s="1261">
        <v>134.6</v>
      </c>
      <c r="GF26" s="1251">
        <f t="shared" si="2"/>
        <v>134.25</v>
      </c>
      <c r="GG26" s="1251">
        <f t="shared" si="1"/>
        <v>140.5</v>
      </c>
      <c r="GH26" s="1261">
        <v>134.80000000000001</v>
      </c>
      <c r="GI26" s="1261">
        <v>129.69999999999999</v>
      </c>
      <c r="GJ26" s="1261">
        <v>162.9</v>
      </c>
      <c r="GK26" s="1261">
        <v>150.1</v>
      </c>
      <c r="GL26" s="1261">
        <v>160.69999999999999</v>
      </c>
      <c r="GM26" s="1261">
        <v>149.4</v>
      </c>
      <c r="GN26" s="1261">
        <v>151.4</v>
      </c>
      <c r="GO26" s="1261">
        <v>152.69999999999999</v>
      </c>
      <c r="GP26" s="1261">
        <v>157.1</v>
      </c>
      <c r="GQ26" s="1261">
        <v>152.80000000000001</v>
      </c>
      <c r="GR26" s="1261">
        <v>158.80000000000001</v>
      </c>
      <c r="GS26" s="1261">
        <v>157.19999999999999</v>
      </c>
      <c r="GT26" s="1261">
        <v>128</v>
      </c>
      <c r="GU26" s="1261">
        <v>163.6</v>
      </c>
      <c r="GV26" s="1261">
        <v>164.8</v>
      </c>
      <c r="GW26" s="1261">
        <v>169</v>
      </c>
      <c r="GX26" s="1261">
        <v>164.9</v>
      </c>
      <c r="GY26" s="1261">
        <v>158.6</v>
      </c>
      <c r="GZ26" s="1261">
        <v>163.69999999999999</v>
      </c>
      <c r="HA26" s="1261">
        <v>159</v>
      </c>
      <c r="HB26" s="1261">
        <v>170.6</v>
      </c>
      <c r="HC26" s="1261">
        <v>169.3</v>
      </c>
      <c r="HD26" s="1261">
        <v>155.9</v>
      </c>
      <c r="HE26" s="759"/>
      <c r="HF26" s="759">
        <f t="shared" si="0"/>
        <v>204.5</v>
      </c>
    </row>
    <row r="27" spans="1:214" ht="22.15" customHeight="1">
      <c r="A27" s="1249">
        <v>2005</v>
      </c>
      <c r="B27" s="1261">
        <v>127.9</v>
      </c>
      <c r="C27" s="1261">
        <v>125.4</v>
      </c>
      <c r="D27" s="1261">
        <v>119.3</v>
      </c>
      <c r="E27" s="1261">
        <v>116.6</v>
      </c>
      <c r="F27" s="1261">
        <v>114.6</v>
      </c>
      <c r="G27" s="1261">
        <v>185.6</v>
      </c>
      <c r="H27" s="1261">
        <v>128.5</v>
      </c>
      <c r="I27" s="1261">
        <v>124.1</v>
      </c>
      <c r="J27" s="1261">
        <v>115.4</v>
      </c>
      <c r="K27" s="1261">
        <v>119.4</v>
      </c>
      <c r="L27" s="1261">
        <v>156.5</v>
      </c>
      <c r="M27" s="1261">
        <v>153</v>
      </c>
      <c r="N27" s="1261">
        <v>157.9</v>
      </c>
      <c r="O27" s="1261">
        <v>157.1</v>
      </c>
      <c r="P27" s="1261">
        <v>156.4</v>
      </c>
      <c r="Q27" s="1261">
        <v>155.4</v>
      </c>
      <c r="R27" s="1261">
        <v>161.1</v>
      </c>
      <c r="S27" s="1261">
        <v>153.80000000000001</v>
      </c>
      <c r="T27" s="1261">
        <v>179.7</v>
      </c>
      <c r="U27" s="1261">
        <v>155.69999999999999</v>
      </c>
      <c r="V27" s="1261">
        <v>160</v>
      </c>
      <c r="W27" s="1261">
        <v>167.2</v>
      </c>
      <c r="X27" s="1261">
        <v>138.30000000000001</v>
      </c>
      <c r="Y27" s="1261">
        <v>141.1</v>
      </c>
      <c r="Z27" s="1261">
        <v>136.4</v>
      </c>
      <c r="AA27" s="1261">
        <v>160.80000000000001</v>
      </c>
      <c r="AB27" s="1261">
        <v>159.4</v>
      </c>
      <c r="AC27" s="1261">
        <v>159.6</v>
      </c>
      <c r="AD27" s="1261">
        <v>159.1</v>
      </c>
      <c r="AE27" s="1261">
        <v>160.80000000000001</v>
      </c>
      <c r="AF27" s="1261">
        <v>160.9</v>
      </c>
      <c r="AG27" s="1261">
        <v>164.1</v>
      </c>
      <c r="AH27" s="1261">
        <v>160.5</v>
      </c>
      <c r="AI27" s="1261">
        <v>149.6</v>
      </c>
      <c r="AJ27" s="1261">
        <v>142.69999999999999</v>
      </c>
      <c r="AK27" s="1261">
        <v>126</v>
      </c>
      <c r="AL27" s="1261">
        <v>119.2</v>
      </c>
      <c r="AM27" s="1261">
        <v>127.1</v>
      </c>
      <c r="AN27" s="1261">
        <v>126</v>
      </c>
      <c r="AO27" s="1261">
        <v>110.7</v>
      </c>
      <c r="AP27" s="1261">
        <v>127.7</v>
      </c>
      <c r="AQ27" s="1261">
        <v>115.7</v>
      </c>
      <c r="AR27" s="1261">
        <v>131.69999999999999</v>
      </c>
      <c r="AS27" s="1261">
        <v>118.9</v>
      </c>
      <c r="AT27" s="1261">
        <v>116.1</v>
      </c>
      <c r="AU27" s="1261">
        <v>116.9</v>
      </c>
      <c r="AV27" s="1261">
        <v>181.2</v>
      </c>
      <c r="AW27" s="1261">
        <v>133.80000000000001</v>
      </c>
      <c r="AX27" s="1261">
        <v>132.5</v>
      </c>
      <c r="AY27" s="1261">
        <v>164.4</v>
      </c>
      <c r="AZ27" s="1261">
        <v>145</v>
      </c>
      <c r="BA27" s="1261">
        <v>158.30000000000001</v>
      </c>
      <c r="BB27" s="1261">
        <v>146.5</v>
      </c>
      <c r="BC27" s="1261">
        <v>151.19999999999999</v>
      </c>
      <c r="BD27" s="1261">
        <v>145.4</v>
      </c>
      <c r="BE27" s="1261">
        <v>131.4</v>
      </c>
      <c r="BF27" s="1261">
        <v>136.19999999999999</v>
      </c>
      <c r="BG27" s="1261">
        <v>131</v>
      </c>
      <c r="BH27" s="1261">
        <v>146.4</v>
      </c>
      <c r="BI27" s="1261">
        <v>137.4</v>
      </c>
      <c r="BJ27" s="1261">
        <v>131</v>
      </c>
      <c r="BK27" s="1261">
        <v>133.80000000000001</v>
      </c>
      <c r="BL27" s="1261">
        <v>135.19999999999999</v>
      </c>
      <c r="BM27" s="1261">
        <v>135.69999999999999</v>
      </c>
      <c r="BN27" s="1261">
        <v>142.1</v>
      </c>
      <c r="BO27" s="1261">
        <v>133.5</v>
      </c>
      <c r="BP27" s="1261">
        <v>129.4</v>
      </c>
      <c r="BQ27" s="1261">
        <v>120</v>
      </c>
      <c r="BR27" s="1261">
        <v>125.9</v>
      </c>
      <c r="BS27" s="1261">
        <v>125.6</v>
      </c>
      <c r="BT27" s="1261">
        <v>121.5</v>
      </c>
      <c r="BU27" s="1261">
        <v>135.1</v>
      </c>
      <c r="BV27" s="1261">
        <v>120.8</v>
      </c>
      <c r="BW27" s="1261">
        <v>117.7</v>
      </c>
      <c r="BX27" s="1261">
        <v>126.2</v>
      </c>
      <c r="BY27" s="1261">
        <v>117.4</v>
      </c>
      <c r="BZ27" s="1261">
        <v>131.69999999999999</v>
      </c>
      <c r="CA27" s="1261">
        <v>131.4</v>
      </c>
      <c r="CB27" s="1261">
        <v>135.80000000000001</v>
      </c>
      <c r="CC27" s="1261">
        <v>169.6</v>
      </c>
      <c r="CD27" s="1261">
        <v>161.30000000000001</v>
      </c>
      <c r="CE27" s="1261">
        <v>159.6</v>
      </c>
      <c r="CF27" s="1261">
        <v>162.19999999999999</v>
      </c>
      <c r="CG27" s="1261">
        <v>162.30000000000001</v>
      </c>
      <c r="CH27" s="1261">
        <v>159.6</v>
      </c>
      <c r="CI27" s="1261">
        <v>147.6</v>
      </c>
      <c r="CJ27" s="1261">
        <v>150.69999999999999</v>
      </c>
      <c r="CK27" s="1261">
        <v>158.80000000000001</v>
      </c>
      <c r="CL27" s="1261">
        <v>147.5</v>
      </c>
      <c r="CM27" s="1261">
        <v>155.80000000000001</v>
      </c>
      <c r="CN27" s="1261">
        <v>156.19999999999999</v>
      </c>
      <c r="CO27" s="1261">
        <v>145.1</v>
      </c>
      <c r="CP27" s="1261">
        <v>123.1</v>
      </c>
      <c r="CQ27" s="1261">
        <v>134.9</v>
      </c>
      <c r="CR27" s="1261">
        <v>142</v>
      </c>
      <c r="CS27" s="1261">
        <v>140.6</v>
      </c>
      <c r="CT27" s="1261">
        <v>157.30000000000001</v>
      </c>
      <c r="CU27" s="1261">
        <v>164.6</v>
      </c>
      <c r="CV27" s="1261">
        <v>152.80000000000001</v>
      </c>
      <c r="CW27" s="1261">
        <v>116</v>
      </c>
      <c r="CX27" s="1261">
        <v>109.9</v>
      </c>
      <c r="CY27" s="1261">
        <v>151.30000000000001</v>
      </c>
      <c r="CZ27" s="1261">
        <v>143.1</v>
      </c>
      <c r="DA27" s="1261">
        <v>149.4</v>
      </c>
      <c r="DB27" s="1261">
        <v>131.69999999999999</v>
      </c>
      <c r="DC27" s="1261">
        <v>131.9</v>
      </c>
      <c r="DD27" s="1261">
        <v>132.4</v>
      </c>
      <c r="DE27" s="1261">
        <v>124.1</v>
      </c>
      <c r="DF27" s="1261">
        <v>132.80000000000001</v>
      </c>
      <c r="DG27" s="1261">
        <v>149.5</v>
      </c>
      <c r="DH27" s="1261">
        <v>145.4</v>
      </c>
      <c r="DI27" s="1261">
        <v>136.80000000000001</v>
      </c>
      <c r="DJ27" s="1261">
        <v>136.5</v>
      </c>
      <c r="DK27" s="1261">
        <v>159</v>
      </c>
      <c r="DL27" s="1261">
        <v>162.4</v>
      </c>
      <c r="DM27" s="1261">
        <v>163.9</v>
      </c>
      <c r="DN27" s="1261">
        <v>163</v>
      </c>
      <c r="DO27" s="1261">
        <v>161.5</v>
      </c>
      <c r="DP27" s="1261">
        <v>130.4</v>
      </c>
      <c r="DQ27" s="1261">
        <v>142.19999999999999</v>
      </c>
      <c r="DR27" s="1261">
        <v>137.5</v>
      </c>
      <c r="DS27" s="1261">
        <v>149.4</v>
      </c>
      <c r="DT27" s="1261">
        <v>194</v>
      </c>
      <c r="DU27" s="1261">
        <v>147.30000000000001</v>
      </c>
      <c r="DV27" s="1261">
        <v>142.19999999999999</v>
      </c>
      <c r="DW27" s="1261">
        <v>141.9</v>
      </c>
      <c r="DX27" s="1261">
        <v>136.9</v>
      </c>
      <c r="DY27" s="1261">
        <v>176.1</v>
      </c>
      <c r="DZ27" s="1261">
        <v>110.5</v>
      </c>
      <c r="EA27" s="1261">
        <v>112.1</v>
      </c>
      <c r="EB27" s="1261">
        <v>112.1</v>
      </c>
      <c r="EC27" s="1261">
        <v>112.1</v>
      </c>
      <c r="ED27" s="1261">
        <v>111.1</v>
      </c>
      <c r="EE27" s="1261">
        <v>125.3</v>
      </c>
      <c r="EF27" s="1261">
        <v>144.4</v>
      </c>
      <c r="EG27" s="1261">
        <v>137.69999999999999</v>
      </c>
      <c r="EH27" s="1261">
        <v>136.80000000000001</v>
      </c>
      <c r="EI27" s="1261">
        <v>147.9</v>
      </c>
      <c r="EJ27" s="1261">
        <v>138</v>
      </c>
      <c r="EK27" s="1261">
        <v>134.5</v>
      </c>
      <c r="EL27" s="1261">
        <v>143.30000000000001</v>
      </c>
      <c r="EM27" s="1261">
        <v>134.80000000000001</v>
      </c>
      <c r="EN27" s="1261">
        <v>145.5</v>
      </c>
      <c r="EO27" s="1261">
        <v>141.1</v>
      </c>
      <c r="EP27" s="1261">
        <v>121.6</v>
      </c>
      <c r="EQ27" s="1261">
        <v>121.6</v>
      </c>
      <c r="ER27" s="1261">
        <v>117.8</v>
      </c>
      <c r="ES27" s="1261">
        <v>150.9</v>
      </c>
      <c r="ET27" s="1261">
        <v>152.19999999999999</v>
      </c>
      <c r="EU27" s="1261">
        <v>150.19999999999999</v>
      </c>
      <c r="EV27" s="1261">
        <v>140.6</v>
      </c>
      <c r="EW27" s="1261">
        <v>141.5</v>
      </c>
      <c r="EX27" s="1261">
        <v>166.4</v>
      </c>
      <c r="EY27" s="1261">
        <v>146.6</v>
      </c>
      <c r="EZ27" s="1261">
        <v>145.5</v>
      </c>
      <c r="FA27" s="1261">
        <v>142.9</v>
      </c>
      <c r="FB27" s="1261">
        <v>155.6</v>
      </c>
      <c r="FC27" s="1261">
        <v>110.2</v>
      </c>
      <c r="FD27" s="1261">
        <v>109.6</v>
      </c>
      <c r="FE27" s="1261">
        <v>115.2</v>
      </c>
      <c r="FF27" s="1261">
        <v>118.5</v>
      </c>
      <c r="FG27" s="1261">
        <v>116</v>
      </c>
      <c r="FH27" s="1261">
        <v>115.1</v>
      </c>
      <c r="FI27" s="1261">
        <v>128.6</v>
      </c>
      <c r="FJ27" s="1261">
        <v>127.9</v>
      </c>
      <c r="FK27" s="1261">
        <v>113.8</v>
      </c>
      <c r="FL27" s="1261">
        <v>117.3</v>
      </c>
      <c r="FM27" s="1261">
        <v>117.9</v>
      </c>
      <c r="FN27" s="1261">
        <v>121.3</v>
      </c>
      <c r="FO27" s="1261">
        <v>114.4</v>
      </c>
      <c r="FP27" s="1261">
        <v>123.7</v>
      </c>
      <c r="FQ27" s="1261">
        <v>112.5</v>
      </c>
      <c r="FR27" s="1261">
        <v>119.4</v>
      </c>
      <c r="FS27" s="1261">
        <v>129</v>
      </c>
      <c r="FT27" s="1261">
        <v>115.5</v>
      </c>
      <c r="FU27" s="1261">
        <v>110.5</v>
      </c>
      <c r="FV27" s="1261">
        <v>121.3</v>
      </c>
      <c r="FW27" s="1261">
        <v>116.1</v>
      </c>
      <c r="FX27" s="1261">
        <v>117.3</v>
      </c>
      <c r="FY27" s="1261">
        <v>126</v>
      </c>
      <c r="FZ27" s="1261">
        <v>129.4</v>
      </c>
      <c r="GA27" s="1261">
        <v>124.6</v>
      </c>
      <c r="GB27" s="1261">
        <v>123.8</v>
      </c>
      <c r="GC27" s="1261">
        <v>136.5</v>
      </c>
      <c r="GD27" s="1261">
        <v>123.5</v>
      </c>
      <c r="GE27" s="1261">
        <v>124.4</v>
      </c>
      <c r="GF27" s="1251">
        <f t="shared" si="2"/>
        <v>124.45</v>
      </c>
      <c r="GG27" s="1251">
        <f t="shared" si="1"/>
        <v>130.94999999999999</v>
      </c>
      <c r="GH27" s="1261">
        <v>125.4</v>
      </c>
      <c r="GI27" s="1261">
        <v>112.2</v>
      </c>
      <c r="GJ27" s="1261">
        <v>153.9</v>
      </c>
      <c r="GK27" s="1261">
        <v>141.9</v>
      </c>
      <c r="GL27" s="1261">
        <v>151.5</v>
      </c>
      <c r="GM27" s="1261">
        <v>140.80000000000001</v>
      </c>
      <c r="GN27" s="1261">
        <v>141</v>
      </c>
      <c r="GO27" s="1261">
        <v>144.4</v>
      </c>
      <c r="GP27" s="1261">
        <v>148.30000000000001</v>
      </c>
      <c r="GQ27" s="1261">
        <v>145.19999999999999</v>
      </c>
      <c r="GR27" s="1261">
        <v>148.4</v>
      </c>
      <c r="GS27" s="1261">
        <v>147.9</v>
      </c>
      <c r="GT27" s="1261">
        <v>118.9</v>
      </c>
      <c r="GU27" s="1261">
        <v>154.4</v>
      </c>
      <c r="GV27" s="1261">
        <v>155.69999999999999</v>
      </c>
      <c r="GW27" s="1261">
        <v>160</v>
      </c>
      <c r="GX27" s="1261">
        <v>156.19999999999999</v>
      </c>
      <c r="GY27" s="1261">
        <v>149.19999999999999</v>
      </c>
      <c r="GZ27" s="1261">
        <v>155.1</v>
      </c>
      <c r="HA27" s="1261">
        <v>150.1</v>
      </c>
      <c r="HB27" s="1261">
        <v>162.6</v>
      </c>
      <c r="HC27" s="1261">
        <v>159.4</v>
      </c>
      <c r="HD27" s="1261">
        <v>146.9</v>
      </c>
      <c r="HE27" s="759"/>
      <c r="HF27" s="759">
        <f t="shared" si="0"/>
        <v>194</v>
      </c>
    </row>
    <row r="28" spans="1:214" ht="22.15" customHeight="1">
      <c r="A28" s="1249">
        <v>2004</v>
      </c>
      <c r="B28" s="1261">
        <v>115.9</v>
      </c>
      <c r="C28" s="1261">
        <v>112.9</v>
      </c>
      <c r="D28" s="1261">
        <v>107</v>
      </c>
      <c r="E28" s="1261">
        <v>104.9</v>
      </c>
      <c r="F28" s="1261">
        <v>102.9</v>
      </c>
      <c r="G28" s="1261">
        <v>167</v>
      </c>
      <c r="H28" s="1261">
        <v>116.5</v>
      </c>
      <c r="I28" s="1261">
        <v>113.6</v>
      </c>
      <c r="J28" s="1261">
        <v>103.8</v>
      </c>
      <c r="K28" s="1261">
        <v>108.6</v>
      </c>
      <c r="L28" s="1261">
        <v>142.1</v>
      </c>
      <c r="M28" s="1261">
        <v>139.5</v>
      </c>
      <c r="N28" s="1261">
        <v>143.80000000000001</v>
      </c>
      <c r="O28" s="1261">
        <v>142</v>
      </c>
      <c r="P28" s="1261">
        <v>140.9</v>
      </c>
      <c r="Q28" s="1261">
        <v>141</v>
      </c>
      <c r="R28" s="1261">
        <v>147.19999999999999</v>
      </c>
      <c r="S28" s="1261">
        <v>139</v>
      </c>
      <c r="T28" s="1261">
        <v>163.6</v>
      </c>
      <c r="U28" s="1261">
        <v>141.4</v>
      </c>
      <c r="V28" s="1261">
        <v>144.19999999999999</v>
      </c>
      <c r="W28" s="1261">
        <v>148.6</v>
      </c>
      <c r="X28" s="1261">
        <v>125.6</v>
      </c>
      <c r="Y28" s="1261">
        <v>127.2</v>
      </c>
      <c r="Z28" s="1261">
        <v>123.5</v>
      </c>
      <c r="AA28" s="1261">
        <v>143.6</v>
      </c>
      <c r="AB28" s="1261">
        <v>142.9</v>
      </c>
      <c r="AC28" s="1261">
        <v>142.4</v>
      </c>
      <c r="AD28" s="1261">
        <v>142.69999999999999</v>
      </c>
      <c r="AE28" s="1261">
        <v>144.30000000000001</v>
      </c>
      <c r="AF28" s="1261">
        <v>143.6</v>
      </c>
      <c r="AG28" s="1261">
        <v>146.5</v>
      </c>
      <c r="AH28" s="1261">
        <v>143.19999999999999</v>
      </c>
      <c r="AI28" s="1261">
        <v>136.1</v>
      </c>
      <c r="AJ28" s="1261">
        <v>126.8</v>
      </c>
      <c r="AK28" s="1261">
        <v>114.8</v>
      </c>
      <c r="AL28" s="1261">
        <v>107.8</v>
      </c>
      <c r="AM28" s="1261">
        <v>115.6</v>
      </c>
      <c r="AN28" s="1261">
        <v>113.2</v>
      </c>
      <c r="AO28" s="1261">
        <v>100.6</v>
      </c>
      <c r="AP28" s="1261">
        <v>116.6</v>
      </c>
      <c r="AQ28" s="1261">
        <v>102.8</v>
      </c>
      <c r="AR28" s="1261">
        <v>119.6</v>
      </c>
      <c r="AS28" s="1261">
        <v>102</v>
      </c>
      <c r="AT28" s="1261">
        <v>105</v>
      </c>
      <c r="AU28" s="1261">
        <v>105.6</v>
      </c>
      <c r="AV28" s="1261">
        <v>161.19999999999999</v>
      </c>
      <c r="AW28" s="1261">
        <v>122</v>
      </c>
      <c r="AX28" s="1261">
        <v>120.5</v>
      </c>
      <c r="AY28" s="1261">
        <v>149.30000000000001</v>
      </c>
      <c r="AZ28" s="1261">
        <v>129.30000000000001</v>
      </c>
      <c r="BA28" s="1261">
        <v>145.1</v>
      </c>
      <c r="BB28" s="1261">
        <v>133.9</v>
      </c>
      <c r="BC28" s="1261">
        <v>138.1</v>
      </c>
      <c r="BD28" s="1261">
        <v>130.30000000000001</v>
      </c>
      <c r="BE28" s="1261">
        <v>120.9</v>
      </c>
      <c r="BF28" s="1261">
        <v>123.5</v>
      </c>
      <c r="BG28" s="1261">
        <v>120.1</v>
      </c>
      <c r="BH28" s="1261">
        <v>132.19999999999999</v>
      </c>
      <c r="BI28" s="1261">
        <v>125</v>
      </c>
      <c r="BJ28" s="1261">
        <v>120</v>
      </c>
      <c r="BK28" s="1261">
        <v>120.6</v>
      </c>
      <c r="BL28" s="1261">
        <v>123</v>
      </c>
      <c r="BM28" s="1261">
        <v>122.7</v>
      </c>
      <c r="BN28" s="1261">
        <v>128.6</v>
      </c>
      <c r="BO28" s="1261">
        <v>121.6</v>
      </c>
      <c r="BP28" s="1261">
        <v>116.2</v>
      </c>
      <c r="BQ28" s="1261">
        <v>108.3</v>
      </c>
      <c r="BR28" s="1261">
        <v>112.6</v>
      </c>
      <c r="BS28" s="1261">
        <v>113.4</v>
      </c>
      <c r="BT28" s="1261">
        <v>110.1</v>
      </c>
      <c r="BU28" s="1261">
        <v>120.3</v>
      </c>
      <c r="BV28" s="1261">
        <v>105.6</v>
      </c>
      <c r="BW28" s="1261">
        <v>109</v>
      </c>
      <c r="BX28" s="1261">
        <v>115.3</v>
      </c>
      <c r="BY28" s="1261">
        <v>105.7</v>
      </c>
      <c r="BZ28" s="1261">
        <v>119.8</v>
      </c>
      <c r="CA28" s="1261">
        <v>119.4</v>
      </c>
      <c r="CB28" s="1261">
        <v>121.4</v>
      </c>
      <c r="CC28" s="1261">
        <v>154.1</v>
      </c>
      <c r="CD28" s="1261">
        <v>144.4</v>
      </c>
      <c r="CE28" s="1261">
        <v>143.6</v>
      </c>
      <c r="CF28" s="1261">
        <v>146.4</v>
      </c>
      <c r="CG28" s="1261">
        <v>146.69999999999999</v>
      </c>
      <c r="CH28" s="1261">
        <v>143.6</v>
      </c>
      <c r="CI28" s="1261">
        <v>131.9</v>
      </c>
      <c r="CJ28" s="1261">
        <v>136.5</v>
      </c>
      <c r="CK28" s="1261">
        <v>143.19999999999999</v>
      </c>
      <c r="CL28" s="1261">
        <v>135.9</v>
      </c>
      <c r="CM28" s="1261">
        <v>142.1</v>
      </c>
      <c r="CN28" s="1261">
        <v>141.9</v>
      </c>
      <c r="CO28" s="1261">
        <v>129.6</v>
      </c>
      <c r="CP28" s="1261">
        <v>112.8</v>
      </c>
      <c r="CQ28" s="1261">
        <v>122.5</v>
      </c>
      <c r="CR28" s="1261">
        <v>129.69999999999999</v>
      </c>
      <c r="CS28" s="1261">
        <v>127.6</v>
      </c>
      <c r="CT28" s="1261">
        <v>139.1</v>
      </c>
      <c r="CU28" s="1261">
        <v>150.1</v>
      </c>
      <c r="CV28" s="1261">
        <v>137</v>
      </c>
      <c r="CW28" s="1261">
        <v>105.3</v>
      </c>
      <c r="CX28" s="1261">
        <v>99.3</v>
      </c>
      <c r="CY28" s="1261">
        <v>135.1</v>
      </c>
      <c r="CZ28" s="1261">
        <v>126.9</v>
      </c>
      <c r="DA28" s="1261">
        <v>135.5</v>
      </c>
      <c r="DB28" s="1261">
        <v>116.3</v>
      </c>
      <c r="DC28" s="1261">
        <v>118.2</v>
      </c>
      <c r="DD28" s="1261">
        <v>117.9</v>
      </c>
      <c r="DE28" s="1261">
        <v>112.1</v>
      </c>
      <c r="DF28" s="1261">
        <v>119.4</v>
      </c>
      <c r="DG28" s="1261">
        <v>137.1</v>
      </c>
      <c r="DH28" s="1261">
        <v>130.5</v>
      </c>
      <c r="DI28" s="1261">
        <v>124.2</v>
      </c>
      <c r="DJ28" s="1261">
        <v>123.9</v>
      </c>
      <c r="DK28" s="1261">
        <v>143.4</v>
      </c>
      <c r="DL28" s="1261">
        <v>145.4</v>
      </c>
      <c r="DM28" s="1261">
        <v>147.19999999999999</v>
      </c>
      <c r="DN28" s="1261">
        <v>146.6</v>
      </c>
      <c r="DO28" s="1261">
        <v>146</v>
      </c>
      <c r="DP28" s="1261">
        <v>118.3</v>
      </c>
      <c r="DQ28" s="1261">
        <v>128.6</v>
      </c>
      <c r="DR28" s="1261">
        <v>123.5</v>
      </c>
      <c r="DS28" s="1261">
        <v>136.1</v>
      </c>
      <c r="DT28" s="1261">
        <v>177.7</v>
      </c>
      <c r="DU28" s="1261">
        <v>132</v>
      </c>
      <c r="DV28" s="1261">
        <v>128.4</v>
      </c>
      <c r="DW28" s="1261">
        <v>127.3</v>
      </c>
      <c r="DX28" s="1261">
        <v>124.4</v>
      </c>
      <c r="DY28" s="1261">
        <v>161.80000000000001</v>
      </c>
      <c r="DZ28" s="1261">
        <v>98.9</v>
      </c>
      <c r="EA28" s="1261">
        <v>100</v>
      </c>
      <c r="EB28" s="1261">
        <v>100.1</v>
      </c>
      <c r="EC28" s="1261">
        <v>100.3</v>
      </c>
      <c r="ED28" s="1261">
        <v>99.4</v>
      </c>
      <c r="EE28" s="1261">
        <v>113</v>
      </c>
      <c r="EF28" s="1261">
        <v>131.9</v>
      </c>
      <c r="EG28" s="1261">
        <v>125.6</v>
      </c>
      <c r="EH28" s="1261">
        <v>124.3</v>
      </c>
      <c r="EI28" s="1261">
        <v>135.6</v>
      </c>
      <c r="EJ28" s="1261">
        <v>126.2</v>
      </c>
      <c r="EK28" s="1261">
        <v>121.1</v>
      </c>
      <c r="EL28" s="1261">
        <v>131.5</v>
      </c>
      <c r="EM28" s="1261">
        <v>122</v>
      </c>
      <c r="EN28" s="1261">
        <v>132.80000000000001</v>
      </c>
      <c r="EO28" s="1261">
        <v>129.30000000000001</v>
      </c>
      <c r="EP28" s="1261">
        <v>109.3</v>
      </c>
      <c r="EQ28" s="1261">
        <v>109.4</v>
      </c>
      <c r="ER28" s="1261">
        <v>107.3</v>
      </c>
      <c r="ES28" s="1261">
        <v>136.80000000000001</v>
      </c>
      <c r="ET28" s="1261">
        <v>137.80000000000001</v>
      </c>
      <c r="EU28" s="1261">
        <v>133.9</v>
      </c>
      <c r="EV28" s="1261">
        <v>127</v>
      </c>
      <c r="EW28" s="1261">
        <v>126.2</v>
      </c>
      <c r="EX28" s="1261">
        <v>148.4</v>
      </c>
      <c r="EY28" s="1261">
        <v>133.1</v>
      </c>
      <c r="EZ28" s="1261">
        <v>128.69999999999999</v>
      </c>
      <c r="FA28" s="1261">
        <v>129</v>
      </c>
      <c r="FB28" s="1261">
        <v>138.80000000000001</v>
      </c>
      <c r="FC28" s="1261">
        <v>98.9</v>
      </c>
      <c r="FD28" s="1261">
        <v>98.4</v>
      </c>
      <c r="FE28" s="1261">
        <v>103.9</v>
      </c>
      <c r="FF28" s="1261">
        <v>107.3</v>
      </c>
      <c r="FG28" s="1261">
        <v>105</v>
      </c>
      <c r="FH28" s="1261">
        <v>104.5</v>
      </c>
      <c r="FI28" s="1261">
        <v>115.6</v>
      </c>
      <c r="FJ28" s="1261">
        <v>115.8</v>
      </c>
      <c r="FK28" s="1261">
        <v>102.9</v>
      </c>
      <c r="FL28" s="1261">
        <v>106.3</v>
      </c>
      <c r="FM28" s="1261">
        <v>105.7</v>
      </c>
      <c r="FN28" s="1261">
        <v>108.5</v>
      </c>
      <c r="FO28" s="1261">
        <v>102.9</v>
      </c>
      <c r="FP28" s="1261">
        <v>112</v>
      </c>
      <c r="FQ28" s="1261">
        <v>101.5</v>
      </c>
      <c r="FR28" s="1261">
        <v>108.4</v>
      </c>
      <c r="FS28" s="1261">
        <v>115.9</v>
      </c>
      <c r="FT28" s="1261">
        <v>104.7</v>
      </c>
      <c r="FU28" s="1261">
        <v>99.9</v>
      </c>
      <c r="FV28" s="1261">
        <v>108.4</v>
      </c>
      <c r="FW28" s="1261">
        <v>104.8</v>
      </c>
      <c r="FX28" s="1261">
        <v>105.1</v>
      </c>
      <c r="FY28" s="1261">
        <v>115.2</v>
      </c>
      <c r="FZ28" s="1261">
        <v>117.8</v>
      </c>
      <c r="GA28" s="1261">
        <v>113</v>
      </c>
      <c r="GB28" s="1261">
        <v>112.3</v>
      </c>
      <c r="GC28" s="1261">
        <v>121.5</v>
      </c>
      <c r="GD28" s="1261">
        <v>108.9</v>
      </c>
      <c r="GE28" s="1261">
        <v>110.2</v>
      </c>
      <c r="GF28" s="1251">
        <f t="shared" si="2"/>
        <v>109.9</v>
      </c>
      <c r="GG28" s="1251">
        <f t="shared" si="1"/>
        <v>116.2</v>
      </c>
      <c r="GH28" s="1261">
        <v>110.9</v>
      </c>
      <c r="GI28" s="1261">
        <v>99.7</v>
      </c>
      <c r="GJ28" s="1261">
        <v>138</v>
      </c>
      <c r="GK28" s="1261">
        <v>127.6</v>
      </c>
      <c r="GL28" s="1261">
        <v>134.5</v>
      </c>
      <c r="GM28" s="1261">
        <v>124.8</v>
      </c>
      <c r="GN28" s="1261">
        <v>125.6</v>
      </c>
      <c r="GO28" s="1261">
        <v>128.9</v>
      </c>
      <c r="GP28" s="1261">
        <v>132.4</v>
      </c>
      <c r="GQ28" s="1261">
        <v>129.69999999999999</v>
      </c>
      <c r="GR28" s="1261">
        <v>134.19999999999999</v>
      </c>
      <c r="GS28" s="1261">
        <v>132.69999999999999</v>
      </c>
      <c r="GT28" s="1261">
        <v>104.7</v>
      </c>
      <c r="GU28" s="1261">
        <v>138.80000000000001</v>
      </c>
      <c r="GV28" s="1261">
        <v>139.4</v>
      </c>
      <c r="GW28" s="1261">
        <v>142.6</v>
      </c>
      <c r="GX28" s="1261">
        <v>140.4</v>
      </c>
      <c r="GY28" s="1261">
        <v>134.5</v>
      </c>
      <c r="GZ28" s="1261">
        <v>141</v>
      </c>
      <c r="HA28" s="1261">
        <v>135.69999999999999</v>
      </c>
      <c r="HB28" s="1261">
        <v>146</v>
      </c>
      <c r="HC28" s="1261">
        <v>141.69999999999999</v>
      </c>
      <c r="HD28" s="1261">
        <v>129.69999999999999</v>
      </c>
      <c r="HE28" s="759"/>
      <c r="HF28" s="759">
        <f t="shared" si="0"/>
        <v>177.7</v>
      </c>
    </row>
    <row r="29" spans="1:214" ht="22.15" customHeight="1">
      <c r="A29" s="1249">
        <v>2003</v>
      </c>
      <c r="B29" s="1261">
        <v>113.1</v>
      </c>
      <c r="C29" s="1261">
        <v>110.7</v>
      </c>
      <c r="D29" s="1261">
        <v>104.8</v>
      </c>
      <c r="E29" s="1261">
        <v>102.6</v>
      </c>
      <c r="F29" s="1261">
        <v>100.8</v>
      </c>
      <c r="G29" s="1261">
        <v>163.5</v>
      </c>
      <c r="H29" s="1261">
        <v>113.9</v>
      </c>
      <c r="I29" s="1261">
        <v>110.6</v>
      </c>
      <c r="J29" s="1261">
        <v>101.8</v>
      </c>
      <c r="K29" s="1261">
        <v>105.8</v>
      </c>
      <c r="L29" s="1261">
        <v>139.4</v>
      </c>
      <c r="M29" s="1261">
        <v>137.19999999999999</v>
      </c>
      <c r="N29" s="1261">
        <v>142.1</v>
      </c>
      <c r="O29" s="1261">
        <v>139.6</v>
      </c>
      <c r="P29" s="1261">
        <v>138.69999999999999</v>
      </c>
      <c r="Q29" s="1261">
        <v>138.69999999999999</v>
      </c>
      <c r="R29" s="1261">
        <v>144.9</v>
      </c>
      <c r="S29" s="1261">
        <v>136.6</v>
      </c>
      <c r="T29" s="1261">
        <v>162.1</v>
      </c>
      <c r="U29" s="1261">
        <v>139.19999999999999</v>
      </c>
      <c r="V29" s="1261">
        <v>141.80000000000001</v>
      </c>
      <c r="W29" s="1261">
        <v>146.4</v>
      </c>
      <c r="X29" s="1261">
        <v>123.1</v>
      </c>
      <c r="Y29" s="1261">
        <v>123.7</v>
      </c>
      <c r="Z29" s="1261">
        <v>120.7</v>
      </c>
      <c r="AA29" s="1261">
        <v>141.30000000000001</v>
      </c>
      <c r="AB29" s="1261">
        <v>140.19999999999999</v>
      </c>
      <c r="AC29" s="1261">
        <v>140.30000000000001</v>
      </c>
      <c r="AD29" s="1261">
        <v>140</v>
      </c>
      <c r="AE29" s="1261">
        <v>141.6</v>
      </c>
      <c r="AF29" s="1261">
        <v>140.6</v>
      </c>
      <c r="AG29" s="1261">
        <v>145.1</v>
      </c>
      <c r="AH29" s="1261">
        <v>140.80000000000001</v>
      </c>
      <c r="AI29" s="1261">
        <v>133</v>
      </c>
      <c r="AJ29" s="1261">
        <v>124.6</v>
      </c>
      <c r="AK29" s="1261">
        <v>109</v>
      </c>
      <c r="AL29" s="1261">
        <v>105.6</v>
      </c>
      <c r="AM29" s="1261">
        <v>110.5</v>
      </c>
      <c r="AN29" s="1261">
        <v>107.8</v>
      </c>
      <c r="AO29" s="1261">
        <v>98</v>
      </c>
      <c r="AP29" s="1261">
        <v>103.5</v>
      </c>
      <c r="AQ29" s="1261">
        <v>100.5</v>
      </c>
      <c r="AR29" s="1261">
        <v>115.8</v>
      </c>
      <c r="AS29" s="1261">
        <v>99.1</v>
      </c>
      <c r="AT29" s="1261">
        <v>102.7</v>
      </c>
      <c r="AU29" s="1261">
        <v>103</v>
      </c>
      <c r="AV29" s="1261">
        <v>159.4</v>
      </c>
      <c r="AW29" s="1261">
        <v>120.2</v>
      </c>
      <c r="AX29" s="1261">
        <v>118.7</v>
      </c>
      <c r="AY29" s="1261">
        <v>146.19999999999999</v>
      </c>
      <c r="AZ29" s="1261">
        <v>127.4</v>
      </c>
      <c r="BA29" s="1261">
        <v>143.5</v>
      </c>
      <c r="BB29" s="1261">
        <v>132.4</v>
      </c>
      <c r="BC29" s="1261">
        <v>137.30000000000001</v>
      </c>
      <c r="BD29" s="1261">
        <v>128.4</v>
      </c>
      <c r="BE29" s="1261">
        <v>119.7</v>
      </c>
      <c r="BF29" s="1261">
        <v>121.4</v>
      </c>
      <c r="BG29" s="1261">
        <v>118.2</v>
      </c>
      <c r="BH29" s="1261">
        <v>131.4</v>
      </c>
      <c r="BI29" s="1261">
        <v>122.5</v>
      </c>
      <c r="BJ29" s="1261">
        <v>118.7</v>
      </c>
      <c r="BK29" s="1261">
        <v>119.2</v>
      </c>
      <c r="BL29" s="1261">
        <v>121.7</v>
      </c>
      <c r="BM29" s="1261">
        <v>120.9</v>
      </c>
      <c r="BN29" s="1261">
        <v>126.4</v>
      </c>
      <c r="BO29" s="1261">
        <v>120.2</v>
      </c>
      <c r="BP29" s="1261">
        <v>114.6</v>
      </c>
      <c r="BQ29" s="1261">
        <v>105.9</v>
      </c>
      <c r="BR29" s="1261">
        <v>109.4</v>
      </c>
      <c r="BS29" s="1261">
        <v>111.3</v>
      </c>
      <c r="BT29" s="1261">
        <v>107.8</v>
      </c>
      <c r="BU29" s="1261">
        <v>118.7</v>
      </c>
      <c r="BV29" s="1261">
        <v>103.3</v>
      </c>
      <c r="BW29" s="1261">
        <v>106.1</v>
      </c>
      <c r="BX29" s="1261">
        <v>112.4</v>
      </c>
      <c r="BY29" s="1261">
        <v>103.9</v>
      </c>
      <c r="BZ29" s="1261">
        <v>117.7</v>
      </c>
      <c r="CA29" s="1261">
        <v>117.3</v>
      </c>
      <c r="CB29" s="1261">
        <v>118.1</v>
      </c>
      <c r="CC29" s="1261">
        <v>150.19999999999999</v>
      </c>
      <c r="CD29" s="1261">
        <v>139.6</v>
      </c>
      <c r="CE29" s="1261">
        <v>140.6</v>
      </c>
      <c r="CF29" s="1261">
        <v>143.30000000000001</v>
      </c>
      <c r="CG29" s="1261">
        <v>143.6</v>
      </c>
      <c r="CH29" s="1261">
        <v>140.5</v>
      </c>
      <c r="CI29" s="1261">
        <v>128.9</v>
      </c>
      <c r="CJ29" s="1261">
        <v>133.80000000000001</v>
      </c>
      <c r="CK29" s="1261">
        <v>139</v>
      </c>
      <c r="CL29" s="1261">
        <v>134.1</v>
      </c>
      <c r="CM29" s="1261">
        <v>139</v>
      </c>
      <c r="CN29" s="1261">
        <v>138.69999999999999</v>
      </c>
      <c r="CO29" s="1261">
        <v>127.9</v>
      </c>
      <c r="CP29" s="1261">
        <v>110.9</v>
      </c>
      <c r="CQ29" s="1261">
        <v>120.8</v>
      </c>
      <c r="CR29" s="1261">
        <v>127.7</v>
      </c>
      <c r="CS29" s="1261">
        <v>126</v>
      </c>
      <c r="CT29" s="1261">
        <v>136.69999999999999</v>
      </c>
      <c r="CU29" s="1261">
        <v>146.5</v>
      </c>
      <c r="CV29" s="1261">
        <v>134.5</v>
      </c>
      <c r="CW29" s="1261">
        <v>101.4</v>
      </c>
      <c r="CX29" s="1261">
        <v>96.7</v>
      </c>
      <c r="CY29" s="1261">
        <v>131.9</v>
      </c>
      <c r="CZ29" s="1261">
        <v>124.8</v>
      </c>
      <c r="DA29" s="1261">
        <v>133.30000000000001</v>
      </c>
      <c r="DB29" s="1261">
        <v>113.9</v>
      </c>
      <c r="DC29" s="1261">
        <v>115.8</v>
      </c>
      <c r="DD29" s="1261">
        <v>115.8</v>
      </c>
      <c r="DE29" s="1261">
        <v>110.2</v>
      </c>
      <c r="DF29" s="1261">
        <v>117.3</v>
      </c>
      <c r="DG29" s="1261">
        <v>133.80000000000001</v>
      </c>
      <c r="DH29" s="1261">
        <v>128.30000000000001</v>
      </c>
      <c r="DI29" s="1261">
        <v>122.4</v>
      </c>
      <c r="DJ29" s="1261">
        <v>122.2</v>
      </c>
      <c r="DK29" s="1261">
        <v>142</v>
      </c>
      <c r="DL29" s="1261">
        <v>144.30000000000001</v>
      </c>
      <c r="DM29" s="1261">
        <v>145.69999999999999</v>
      </c>
      <c r="DN29" s="1261">
        <v>145</v>
      </c>
      <c r="DO29" s="1261">
        <v>143</v>
      </c>
      <c r="DP29" s="1261">
        <v>116.4</v>
      </c>
      <c r="DQ29" s="1261">
        <v>126.8</v>
      </c>
      <c r="DR29" s="1261">
        <v>121.8</v>
      </c>
      <c r="DS29" s="1261">
        <v>132.80000000000001</v>
      </c>
      <c r="DT29" s="1261">
        <v>173.4</v>
      </c>
      <c r="DU29" s="1261">
        <v>130.30000000000001</v>
      </c>
      <c r="DV29" s="1261">
        <v>126.7</v>
      </c>
      <c r="DW29" s="1261">
        <v>124.7</v>
      </c>
      <c r="DX29" s="1261">
        <v>121.7</v>
      </c>
      <c r="DY29" s="1261">
        <v>160</v>
      </c>
      <c r="DZ29" s="1261">
        <v>96.2</v>
      </c>
      <c r="EA29" s="1261">
        <v>97.5</v>
      </c>
      <c r="EB29" s="1261">
        <v>97.5</v>
      </c>
      <c r="EC29" s="1261">
        <v>97.8</v>
      </c>
      <c r="ED29" s="1261">
        <v>96.8</v>
      </c>
      <c r="EE29" s="1261">
        <v>110.6</v>
      </c>
      <c r="EF29" s="1261">
        <v>129.6</v>
      </c>
      <c r="EG29" s="1261">
        <v>123.7</v>
      </c>
      <c r="EH29" s="1261">
        <v>121.3</v>
      </c>
      <c r="EI29" s="1261">
        <v>132.69999999999999</v>
      </c>
      <c r="EJ29" s="1261">
        <v>123.7</v>
      </c>
      <c r="EK29" s="1261">
        <v>119.4</v>
      </c>
      <c r="EL29" s="1261">
        <v>126.1</v>
      </c>
      <c r="EM29" s="1261">
        <v>120</v>
      </c>
      <c r="EN29" s="1261">
        <v>130.4</v>
      </c>
      <c r="EO29" s="1261">
        <v>126.2</v>
      </c>
      <c r="EP29" s="1261">
        <v>107.5</v>
      </c>
      <c r="EQ29" s="1261">
        <v>107.8</v>
      </c>
      <c r="ER29" s="1261">
        <v>105</v>
      </c>
      <c r="ES29" s="1261">
        <v>134.19999999999999</v>
      </c>
      <c r="ET29" s="1261">
        <v>135.9</v>
      </c>
      <c r="EU29" s="1261">
        <v>130.30000000000001</v>
      </c>
      <c r="EV29" s="1261">
        <v>124.5</v>
      </c>
      <c r="EW29" s="1261">
        <v>123.8</v>
      </c>
      <c r="EX29" s="1261">
        <v>145.5</v>
      </c>
      <c r="EY29" s="1261">
        <v>130.5</v>
      </c>
      <c r="EZ29" s="1261">
        <v>126.3</v>
      </c>
      <c r="FA29" s="1261">
        <v>126</v>
      </c>
      <c r="FB29" s="1261">
        <v>135.9</v>
      </c>
      <c r="FC29" s="1261">
        <v>96.1</v>
      </c>
      <c r="FD29" s="1261">
        <v>95.7</v>
      </c>
      <c r="FE29" s="1261">
        <v>101.3</v>
      </c>
      <c r="FF29" s="1261">
        <v>104</v>
      </c>
      <c r="FG29" s="1261">
        <v>102.8</v>
      </c>
      <c r="FH29" s="1261">
        <v>102.3</v>
      </c>
      <c r="FI29" s="1261">
        <v>111.1</v>
      </c>
      <c r="FJ29" s="1261">
        <v>110.9</v>
      </c>
      <c r="FK29" s="1261">
        <v>100.5</v>
      </c>
      <c r="FL29" s="1261">
        <v>104.4</v>
      </c>
      <c r="FM29" s="1261">
        <v>103.9</v>
      </c>
      <c r="FN29" s="1261">
        <v>106.1</v>
      </c>
      <c r="FO29" s="1261">
        <v>100.4</v>
      </c>
      <c r="FP29" s="1261">
        <v>109.3</v>
      </c>
      <c r="FQ29" s="1261">
        <v>99.5</v>
      </c>
      <c r="FR29" s="1261">
        <v>105.5</v>
      </c>
      <c r="FS29" s="1261">
        <v>113.4</v>
      </c>
      <c r="FT29" s="1261">
        <v>102.3</v>
      </c>
      <c r="FU29" s="1261">
        <v>97.6</v>
      </c>
      <c r="FV29" s="1261">
        <v>104.8</v>
      </c>
      <c r="FW29" s="1261">
        <v>102.7</v>
      </c>
      <c r="FX29" s="1261">
        <v>103</v>
      </c>
      <c r="FY29" s="1261">
        <v>112.7</v>
      </c>
      <c r="FZ29" s="1261">
        <v>116</v>
      </c>
      <c r="GA29" s="1261">
        <v>110.7</v>
      </c>
      <c r="GB29" s="1261">
        <v>110.1</v>
      </c>
      <c r="GC29" s="1261">
        <v>119.5</v>
      </c>
      <c r="GD29" s="1261">
        <v>104.8</v>
      </c>
      <c r="GE29" s="1261">
        <v>106.2</v>
      </c>
      <c r="GF29" s="1251">
        <f t="shared" si="2"/>
        <v>106.69999999999999</v>
      </c>
      <c r="GG29" s="1251">
        <f t="shared" si="1"/>
        <v>114.05</v>
      </c>
      <c r="GH29" s="1261">
        <v>108.6</v>
      </c>
      <c r="GI29" s="1261">
        <v>97</v>
      </c>
      <c r="GJ29" s="1261">
        <v>134.9</v>
      </c>
      <c r="GK29" s="1261">
        <v>125.9</v>
      </c>
      <c r="GL29" s="1261">
        <v>133</v>
      </c>
      <c r="GM29" s="1261">
        <v>123.3</v>
      </c>
      <c r="GN29" s="1261">
        <v>123.6</v>
      </c>
      <c r="GO29" s="1261">
        <v>127.4</v>
      </c>
      <c r="GP29" s="1261">
        <v>130.9</v>
      </c>
      <c r="GQ29" s="1261">
        <v>128.4</v>
      </c>
      <c r="GR29" s="1261">
        <v>131.1</v>
      </c>
      <c r="GS29" s="1261">
        <v>131.5</v>
      </c>
      <c r="GT29" s="1261">
        <v>102.6</v>
      </c>
      <c r="GU29" s="1261">
        <v>133.6</v>
      </c>
      <c r="GV29" s="1261">
        <v>134.19999999999999</v>
      </c>
      <c r="GW29" s="1261">
        <v>139.1</v>
      </c>
      <c r="GX29" s="1261">
        <v>137</v>
      </c>
      <c r="GY29" s="1261">
        <v>130.19999999999999</v>
      </c>
      <c r="GZ29" s="1261">
        <v>137.4</v>
      </c>
      <c r="HA29" s="1261">
        <v>131.4</v>
      </c>
      <c r="HB29" s="1261">
        <v>142.30000000000001</v>
      </c>
      <c r="HC29" s="1261">
        <v>137</v>
      </c>
      <c r="HD29" s="1261">
        <v>124.4</v>
      </c>
      <c r="HE29" s="759"/>
      <c r="HF29" s="759">
        <f t="shared" si="0"/>
        <v>173.4</v>
      </c>
    </row>
    <row r="30" spans="1:214" ht="22.15" customHeight="1">
      <c r="A30" s="1249">
        <v>2002</v>
      </c>
      <c r="B30" s="1261">
        <v>110</v>
      </c>
      <c r="C30" s="1261">
        <v>103.4</v>
      </c>
      <c r="D30" s="1261">
        <v>103.6</v>
      </c>
      <c r="E30" s="1261">
        <v>101.7</v>
      </c>
      <c r="F30" s="1261">
        <v>99.7</v>
      </c>
      <c r="G30" s="1261">
        <v>159.5</v>
      </c>
      <c r="H30" s="1261">
        <v>113.3</v>
      </c>
      <c r="I30" s="1261">
        <v>110.2</v>
      </c>
      <c r="J30" s="1261">
        <v>100.4</v>
      </c>
      <c r="K30" s="1261">
        <v>102.1</v>
      </c>
      <c r="L30" s="1261">
        <v>136.5</v>
      </c>
      <c r="M30" s="1261">
        <v>133.4</v>
      </c>
      <c r="N30" s="1261">
        <v>136</v>
      </c>
      <c r="O30" s="1261">
        <v>136.4</v>
      </c>
      <c r="P30" s="1261">
        <v>136.30000000000001</v>
      </c>
      <c r="Q30" s="1261">
        <v>135.30000000000001</v>
      </c>
      <c r="R30" s="1261">
        <v>138.4</v>
      </c>
      <c r="S30" s="1261">
        <v>134.19999999999999</v>
      </c>
      <c r="T30" s="1261">
        <v>157.9</v>
      </c>
      <c r="U30" s="1261">
        <v>135.9</v>
      </c>
      <c r="V30" s="1261">
        <v>136.9</v>
      </c>
      <c r="W30" s="1261">
        <v>143.80000000000001</v>
      </c>
      <c r="X30" s="1261">
        <v>118.7</v>
      </c>
      <c r="Y30" s="1261">
        <v>121.3</v>
      </c>
      <c r="Z30" s="1261">
        <v>116.7</v>
      </c>
      <c r="AA30" s="1261">
        <v>133.80000000000001</v>
      </c>
      <c r="AB30" s="1261">
        <v>133.6</v>
      </c>
      <c r="AC30" s="1261">
        <v>133.1</v>
      </c>
      <c r="AD30" s="1261">
        <v>133.30000000000001</v>
      </c>
      <c r="AE30" s="1261">
        <v>134.80000000000001</v>
      </c>
      <c r="AF30" s="1261">
        <v>133.5</v>
      </c>
      <c r="AG30" s="1261">
        <v>136.19999999999999</v>
      </c>
      <c r="AH30" s="1261">
        <v>133.9</v>
      </c>
      <c r="AI30" s="1261">
        <v>129.4</v>
      </c>
      <c r="AJ30" s="1261">
        <v>120.3</v>
      </c>
      <c r="AK30" s="1261">
        <v>107.1</v>
      </c>
      <c r="AL30" s="1261">
        <v>104.6</v>
      </c>
      <c r="AM30" s="1261">
        <v>107.4</v>
      </c>
      <c r="AN30" s="1261">
        <v>106.7</v>
      </c>
      <c r="AO30" s="1261">
        <v>97.3</v>
      </c>
      <c r="AP30" s="1261">
        <v>102.8</v>
      </c>
      <c r="AQ30" s="1261">
        <v>99.7</v>
      </c>
      <c r="AR30" s="1261">
        <v>113</v>
      </c>
      <c r="AS30" s="1261">
        <v>98.3</v>
      </c>
      <c r="AT30" s="1261">
        <v>101.9</v>
      </c>
      <c r="AU30" s="1261">
        <v>102</v>
      </c>
      <c r="AV30" s="1261">
        <v>157.19999999999999</v>
      </c>
      <c r="AW30" s="1261">
        <v>118.3</v>
      </c>
      <c r="AX30" s="1261">
        <v>117.1</v>
      </c>
      <c r="AY30" s="1261">
        <v>141.19999999999999</v>
      </c>
      <c r="AZ30" s="1261">
        <v>123.8</v>
      </c>
      <c r="BA30" s="1261">
        <v>138.5</v>
      </c>
      <c r="BB30" s="1261">
        <v>129.6</v>
      </c>
      <c r="BC30" s="1261">
        <v>132.9</v>
      </c>
      <c r="BD30" s="1261">
        <v>125.3</v>
      </c>
      <c r="BE30" s="1261">
        <v>117.5</v>
      </c>
      <c r="BF30" s="1261">
        <v>119</v>
      </c>
      <c r="BG30" s="1261">
        <v>116.4</v>
      </c>
      <c r="BH30" s="1261">
        <v>129.1</v>
      </c>
      <c r="BI30" s="1261">
        <v>120.5</v>
      </c>
      <c r="BJ30" s="1261">
        <v>116.7</v>
      </c>
      <c r="BK30" s="1261">
        <v>117.1</v>
      </c>
      <c r="BL30" s="1261">
        <v>119.9</v>
      </c>
      <c r="BM30" s="1261">
        <v>116</v>
      </c>
      <c r="BN30" s="1261">
        <v>122.1</v>
      </c>
      <c r="BO30" s="1261">
        <v>116.7</v>
      </c>
      <c r="BP30" s="1261">
        <v>111.4</v>
      </c>
      <c r="BQ30" s="1261">
        <v>103.7</v>
      </c>
      <c r="BR30" s="1261">
        <v>107.8</v>
      </c>
      <c r="BS30" s="1261">
        <v>109.6</v>
      </c>
      <c r="BT30" s="1261">
        <v>106.2</v>
      </c>
      <c r="BU30" s="1261">
        <v>116.4</v>
      </c>
      <c r="BV30" s="1261">
        <v>102.5</v>
      </c>
      <c r="BW30" s="1261">
        <v>105</v>
      </c>
      <c r="BX30" s="1261">
        <v>110.6</v>
      </c>
      <c r="BY30" s="1261">
        <v>102.1</v>
      </c>
      <c r="BZ30" s="1261">
        <v>117.5</v>
      </c>
      <c r="CA30" s="1261">
        <v>117.1</v>
      </c>
      <c r="CB30" s="1261">
        <v>115.6</v>
      </c>
      <c r="CC30" s="1261">
        <v>145.6</v>
      </c>
      <c r="CD30" s="1261">
        <v>136</v>
      </c>
      <c r="CE30" s="1261">
        <v>135</v>
      </c>
      <c r="CF30" s="1261">
        <v>136.9</v>
      </c>
      <c r="CG30" s="1261">
        <v>137.30000000000001</v>
      </c>
      <c r="CH30" s="1261">
        <v>134.9</v>
      </c>
      <c r="CI30" s="1261">
        <v>124.7</v>
      </c>
      <c r="CJ30" s="1261">
        <v>128.30000000000001</v>
      </c>
      <c r="CK30" s="1261">
        <v>134.9</v>
      </c>
      <c r="CL30" s="1261">
        <v>131.4</v>
      </c>
      <c r="CM30" s="1261">
        <v>134.30000000000001</v>
      </c>
      <c r="CN30" s="1261">
        <v>134.19999999999999</v>
      </c>
      <c r="CO30" s="1261">
        <v>126.9</v>
      </c>
      <c r="CP30" s="1261">
        <v>107.4</v>
      </c>
      <c r="CQ30" s="1261">
        <v>119.9</v>
      </c>
      <c r="CR30" s="1261">
        <v>125.3</v>
      </c>
      <c r="CS30" s="1261">
        <v>124.4</v>
      </c>
      <c r="CT30" s="1261">
        <v>131.9</v>
      </c>
      <c r="CU30" s="1261">
        <v>139.5</v>
      </c>
      <c r="CV30" s="1261">
        <v>130</v>
      </c>
      <c r="CW30" s="1261">
        <v>101</v>
      </c>
      <c r="CX30" s="1261">
        <v>96.3</v>
      </c>
      <c r="CY30" s="1261">
        <v>128.4</v>
      </c>
      <c r="CZ30" s="1261">
        <v>122.7</v>
      </c>
      <c r="DA30" s="1261">
        <v>129.6</v>
      </c>
      <c r="DB30" s="1261">
        <v>112.5</v>
      </c>
      <c r="DC30" s="1261">
        <v>114.6</v>
      </c>
      <c r="DD30" s="1261">
        <v>114.5</v>
      </c>
      <c r="DE30" s="1261">
        <v>108.2</v>
      </c>
      <c r="DF30" s="1261">
        <v>115</v>
      </c>
      <c r="DG30" s="1261">
        <v>131.9</v>
      </c>
      <c r="DH30" s="1261">
        <v>126.4</v>
      </c>
      <c r="DI30" s="1261">
        <v>119.9</v>
      </c>
      <c r="DJ30" s="1261">
        <v>119.6</v>
      </c>
      <c r="DK30" s="1261">
        <v>135.9</v>
      </c>
      <c r="DL30" s="1261">
        <v>138.5</v>
      </c>
      <c r="DM30" s="1261">
        <v>140.19999999999999</v>
      </c>
      <c r="DN30" s="1261">
        <v>140.1</v>
      </c>
      <c r="DO30" s="1261">
        <v>137.6</v>
      </c>
      <c r="DP30" s="1261">
        <v>114.6</v>
      </c>
      <c r="DQ30" s="1261">
        <v>122.6</v>
      </c>
      <c r="DR30" s="1261">
        <v>119</v>
      </c>
      <c r="DS30" s="1261">
        <v>128.5</v>
      </c>
      <c r="DT30" s="1261">
        <v>170.1</v>
      </c>
      <c r="DU30" s="1261">
        <v>127.1</v>
      </c>
      <c r="DV30" s="1261">
        <v>123</v>
      </c>
      <c r="DW30" s="1261">
        <v>121.8</v>
      </c>
      <c r="DX30" s="1261">
        <v>118.4</v>
      </c>
      <c r="DY30" s="1261">
        <v>154.80000000000001</v>
      </c>
      <c r="DZ30" s="1261">
        <v>94.8</v>
      </c>
      <c r="EA30" s="1261">
        <v>96.1</v>
      </c>
      <c r="EB30" s="1261">
        <v>96.1</v>
      </c>
      <c r="EC30" s="1261">
        <v>96.3</v>
      </c>
      <c r="ED30" s="1261">
        <v>95.5</v>
      </c>
      <c r="EE30" s="1261">
        <v>106.3</v>
      </c>
      <c r="EF30" s="1261">
        <v>127.2</v>
      </c>
      <c r="EG30" s="1261">
        <v>120.9</v>
      </c>
      <c r="EH30" s="1261">
        <v>119.2</v>
      </c>
      <c r="EI30" s="1261">
        <v>130</v>
      </c>
      <c r="EJ30" s="1261">
        <v>120.9</v>
      </c>
      <c r="EK30" s="1261">
        <v>117.5</v>
      </c>
      <c r="EL30" s="1261">
        <v>124.3</v>
      </c>
      <c r="EM30" s="1261">
        <v>118</v>
      </c>
      <c r="EN30" s="1261">
        <v>128.4</v>
      </c>
      <c r="EO30" s="1261">
        <v>123.6</v>
      </c>
      <c r="EP30" s="1261">
        <v>106.3</v>
      </c>
      <c r="EQ30" s="1261">
        <v>106</v>
      </c>
      <c r="ER30" s="1261">
        <v>104.1</v>
      </c>
      <c r="ES30" s="1261">
        <v>132.19999999999999</v>
      </c>
      <c r="ET30" s="1261">
        <v>133.9</v>
      </c>
      <c r="EU30" s="1261">
        <v>128.1</v>
      </c>
      <c r="EV30" s="1261">
        <v>122.1</v>
      </c>
      <c r="EW30" s="1261">
        <v>121.1</v>
      </c>
      <c r="EX30" s="1261">
        <v>142</v>
      </c>
      <c r="EY30" s="1261">
        <v>127.8</v>
      </c>
      <c r="EZ30" s="1261">
        <v>123.4</v>
      </c>
      <c r="FA30" s="1261">
        <v>124.2</v>
      </c>
      <c r="FB30" s="1261">
        <v>131.1</v>
      </c>
      <c r="FC30" s="1261">
        <v>94.8</v>
      </c>
      <c r="FD30" s="1261">
        <v>93.9</v>
      </c>
      <c r="FE30" s="1261">
        <v>100.2</v>
      </c>
      <c r="FF30" s="1261">
        <v>103.2</v>
      </c>
      <c r="FG30" s="1261">
        <v>102.2</v>
      </c>
      <c r="FH30" s="1261">
        <v>101.2</v>
      </c>
      <c r="FI30" s="1261">
        <v>107.6</v>
      </c>
      <c r="FJ30" s="1261">
        <v>109.2</v>
      </c>
      <c r="FK30" s="1261">
        <v>99.9</v>
      </c>
      <c r="FL30" s="1261">
        <v>101.9</v>
      </c>
      <c r="FM30" s="1261">
        <v>102.4</v>
      </c>
      <c r="FN30" s="1261">
        <v>104.5</v>
      </c>
      <c r="FO30" s="1261">
        <v>98.9</v>
      </c>
      <c r="FP30" s="1261">
        <v>107.9</v>
      </c>
      <c r="FQ30" s="1261">
        <v>98.7</v>
      </c>
      <c r="FR30" s="1261">
        <v>104.6</v>
      </c>
      <c r="FS30" s="1261">
        <v>111.5</v>
      </c>
      <c r="FT30" s="1261">
        <v>100.5</v>
      </c>
      <c r="FU30" s="1261">
        <v>95.9</v>
      </c>
      <c r="FV30" s="1261">
        <v>103.7</v>
      </c>
      <c r="FW30" s="1261">
        <v>100.5</v>
      </c>
      <c r="FX30" s="1261">
        <v>101.4</v>
      </c>
      <c r="FY30" s="1261">
        <v>110.8</v>
      </c>
      <c r="FZ30" s="1261">
        <v>113.7</v>
      </c>
      <c r="GA30" s="1261">
        <v>109</v>
      </c>
      <c r="GB30" s="1261">
        <v>108.4</v>
      </c>
      <c r="GC30" s="1261">
        <v>115.1</v>
      </c>
      <c r="GD30" s="1261">
        <v>102.9</v>
      </c>
      <c r="GE30" s="1261">
        <v>104.1</v>
      </c>
      <c r="GF30" s="1251">
        <f t="shared" si="2"/>
        <v>104.75</v>
      </c>
      <c r="GG30" s="1251">
        <f t="shared" si="1"/>
        <v>110.85</v>
      </c>
      <c r="GH30" s="1261">
        <v>106.6</v>
      </c>
      <c r="GI30" s="1261">
        <v>95.2</v>
      </c>
      <c r="GJ30" s="1261">
        <v>132.69999999999999</v>
      </c>
      <c r="GK30" s="1261">
        <v>123.9</v>
      </c>
      <c r="GL30" s="1261">
        <v>131.4</v>
      </c>
      <c r="GM30" s="1261">
        <v>121.2</v>
      </c>
      <c r="GN30" s="1261">
        <v>120.9</v>
      </c>
      <c r="GO30" s="1261">
        <v>123</v>
      </c>
      <c r="GP30" s="1261">
        <v>127.3</v>
      </c>
      <c r="GQ30" s="1261">
        <v>124.5</v>
      </c>
      <c r="GR30" s="1261">
        <v>128.19999999999999</v>
      </c>
      <c r="GS30" s="1261">
        <v>126.5</v>
      </c>
      <c r="GT30" s="1261">
        <v>101.7</v>
      </c>
      <c r="GU30" s="1261">
        <v>122.5</v>
      </c>
      <c r="GV30" s="1261">
        <v>122.2</v>
      </c>
      <c r="GW30" s="1261">
        <v>136.30000000000001</v>
      </c>
      <c r="GX30" s="1261">
        <v>134.1</v>
      </c>
      <c r="GY30" s="1261">
        <v>127.2</v>
      </c>
      <c r="GZ30" s="1261">
        <v>134.9</v>
      </c>
      <c r="HA30" s="1261">
        <v>128.4</v>
      </c>
      <c r="HB30" s="1261">
        <v>139.80000000000001</v>
      </c>
      <c r="HC30" s="1261">
        <v>134.6</v>
      </c>
      <c r="HD30" s="1261">
        <v>121.4</v>
      </c>
      <c r="HE30" s="759"/>
      <c r="HF30" s="759">
        <f t="shared" si="0"/>
        <v>170.1</v>
      </c>
    </row>
    <row r="31" spans="1:214" ht="22.15" customHeight="1">
      <c r="A31" s="1249">
        <v>2001</v>
      </c>
      <c r="B31" s="1261">
        <v>106</v>
      </c>
      <c r="C31" s="1261">
        <v>100.5</v>
      </c>
      <c r="D31" s="1261">
        <v>100.6</v>
      </c>
      <c r="E31" s="1261">
        <v>98.3</v>
      </c>
      <c r="F31" s="1261">
        <v>95.9</v>
      </c>
      <c r="G31" s="1261">
        <v>152.6</v>
      </c>
      <c r="H31" s="1261">
        <v>109</v>
      </c>
      <c r="I31" s="1261">
        <v>106.4</v>
      </c>
      <c r="J31" s="1261">
        <v>97.3</v>
      </c>
      <c r="K31" s="1261">
        <v>98.7</v>
      </c>
      <c r="L31" s="1261">
        <v>132.5</v>
      </c>
      <c r="M31" s="1261">
        <v>129.30000000000001</v>
      </c>
      <c r="N31" s="1261">
        <v>132.80000000000001</v>
      </c>
      <c r="O31" s="1261">
        <v>132.4</v>
      </c>
      <c r="P31" s="1261">
        <v>132.4</v>
      </c>
      <c r="Q31" s="1261">
        <v>131.4</v>
      </c>
      <c r="R31" s="1261">
        <v>135.5</v>
      </c>
      <c r="S31" s="1261">
        <v>129.69999999999999</v>
      </c>
      <c r="T31" s="1261">
        <v>151.80000000000001</v>
      </c>
      <c r="U31" s="1261">
        <v>131.5</v>
      </c>
      <c r="V31" s="1261">
        <v>134.1</v>
      </c>
      <c r="W31" s="1261">
        <v>140.19999999999999</v>
      </c>
      <c r="X31" s="1261">
        <v>113.3</v>
      </c>
      <c r="Y31" s="1261">
        <v>117.2</v>
      </c>
      <c r="Z31" s="1261">
        <v>113.1</v>
      </c>
      <c r="AA31" s="1261">
        <v>128.6</v>
      </c>
      <c r="AB31" s="1261">
        <v>128.5</v>
      </c>
      <c r="AC31" s="1261">
        <v>128.5</v>
      </c>
      <c r="AD31" s="1261">
        <v>128.30000000000001</v>
      </c>
      <c r="AE31" s="1261">
        <v>128.6</v>
      </c>
      <c r="AF31" s="1261">
        <v>128.19999999999999</v>
      </c>
      <c r="AG31" s="1261">
        <v>131.5</v>
      </c>
      <c r="AH31" s="1261">
        <v>128.80000000000001</v>
      </c>
      <c r="AI31" s="1261">
        <v>124.8</v>
      </c>
      <c r="AJ31" s="1261">
        <v>115.9</v>
      </c>
      <c r="AK31" s="1261">
        <v>104.3</v>
      </c>
      <c r="AL31" s="1261">
        <v>100.8</v>
      </c>
      <c r="AM31" s="1261">
        <v>104.6</v>
      </c>
      <c r="AN31" s="1261">
        <v>103.8</v>
      </c>
      <c r="AO31" s="1261">
        <v>94.8</v>
      </c>
      <c r="AP31" s="1261">
        <v>100.3</v>
      </c>
      <c r="AQ31" s="1261">
        <v>96.4</v>
      </c>
      <c r="AR31" s="1261">
        <v>109.1</v>
      </c>
      <c r="AS31" s="1261">
        <v>95.5</v>
      </c>
      <c r="AT31" s="1261">
        <v>99</v>
      </c>
      <c r="AU31" s="1261">
        <v>99</v>
      </c>
      <c r="AV31" s="1261">
        <v>150</v>
      </c>
      <c r="AW31" s="1261">
        <v>114.3</v>
      </c>
      <c r="AX31" s="1261">
        <v>113.4</v>
      </c>
      <c r="AY31" s="1261">
        <v>135.80000000000001</v>
      </c>
      <c r="AZ31" s="1261">
        <v>120.1</v>
      </c>
      <c r="BA31" s="1261">
        <v>133.69999999999999</v>
      </c>
      <c r="BB31" s="1261">
        <v>124.3</v>
      </c>
      <c r="BC31" s="1261">
        <v>127.8</v>
      </c>
      <c r="BD31" s="1261">
        <v>119.8</v>
      </c>
      <c r="BE31" s="1261">
        <v>113.4</v>
      </c>
      <c r="BF31" s="1261">
        <v>115.6</v>
      </c>
      <c r="BG31" s="1261">
        <v>112.1</v>
      </c>
      <c r="BH31" s="1261">
        <v>123.4</v>
      </c>
      <c r="BI31" s="1261">
        <v>116.4</v>
      </c>
      <c r="BJ31" s="1261">
        <v>112.8</v>
      </c>
      <c r="BK31" s="1261">
        <v>111.6</v>
      </c>
      <c r="BL31" s="1261">
        <v>115.5</v>
      </c>
      <c r="BM31" s="1261">
        <v>112.5</v>
      </c>
      <c r="BN31" s="1261">
        <v>117.5</v>
      </c>
      <c r="BO31" s="1261">
        <v>113.2</v>
      </c>
      <c r="BP31" s="1261">
        <v>107.7</v>
      </c>
      <c r="BQ31" s="1261">
        <v>100.6</v>
      </c>
      <c r="BR31" s="1261">
        <v>104.3</v>
      </c>
      <c r="BS31" s="1261">
        <v>105.2</v>
      </c>
      <c r="BT31" s="1261">
        <v>103.3</v>
      </c>
      <c r="BU31" s="1261">
        <v>112.7</v>
      </c>
      <c r="BV31" s="1261">
        <v>99.4</v>
      </c>
      <c r="BW31" s="1261">
        <v>101.3</v>
      </c>
      <c r="BX31" s="1261">
        <v>104.6</v>
      </c>
      <c r="BY31" s="1261">
        <v>98.3</v>
      </c>
      <c r="BZ31" s="1261">
        <v>114.6</v>
      </c>
      <c r="CA31" s="1261">
        <v>114.3</v>
      </c>
      <c r="CB31" s="1261">
        <v>111.7</v>
      </c>
      <c r="CC31" s="1261">
        <v>140.9</v>
      </c>
      <c r="CD31" s="1261">
        <v>132.1</v>
      </c>
      <c r="CE31" s="1261">
        <v>131.4</v>
      </c>
      <c r="CF31" s="1261">
        <v>133.1</v>
      </c>
      <c r="CG31" s="1261">
        <v>132.9</v>
      </c>
      <c r="CH31" s="1261">
        <v>131.30000000000001</v>
      </c>
      <c r="CI31" s="1261">
        <v>120.3</v>
      </c>
      <c r="CJ31" s="1261">
        <v>124.5</v>
      </c>
      <c r="CK31" s="1261">
        <v>130.1</v>
      </c>
      <c r="CL31" s="1261">
        <v>126.8</v>
      </c>
      <c r="CM31" s="1261">
        <v>129.80000000000001</v>
      </c>
      <c r="CN31" s="1261">
        <v>129.4</v>
      </c>
      <c r="CO31" s="1261">
        <v>122.4</v>
      </c>
      <c r="CP31" s="1261">
        <v>104.3</v>
      </c>
      <c r="CQ31" s="1261">
        <v>115.2</v>
      </c>
      <c r="CR31" s="1261">
        <v>120.1</v>
      </c>
      <c r="CS31" s="1261">
        <v>119.7</v>
      </c>
      <c r="CT31" s="1261">
        <v>131.4</v>
      </c>
      <c r="CU31" s="1261">
        <v>136.1</v>
      </c>
      <c r="CV31" s="1261">
        <v>124.9</v>
      </c>
      <c r="CW31" s="1261">
        <v>98.7</v>
      </c>
      <c r="CX31" s="1261">
        <v>93.9</v>
      </c>
      <c r="CY31" s="1261">
        <v>121.8</v>
      </c>
      <c r="CZ31" s="1261">
        <v>114.7</v>
      </c>
      <c r="DA31" s="1261">
        <v>125.5</v>
      </c>
      <c r="DB31" s="1261">
        <v>106.7</v>
      </c>
      <c r="DC31" s="1261">
        <v>117.5</v>
      </c>
      <c r="DD31" s="1261">
        <v>117.7</v>
      </c>
      <c r="DE31" s="1261">
        <v>101.3</v>
      </c>
      <c r="DF31" s="1261">
        <v>111.6</v>
      </c>
      <c r="DG31" s="1261">
        <v>127.8</v>
      </c>
      <c r="DH31" s="1261">
        <v>122.5</v>
      </c>
      <c r="DI31" s="1261">
        <v>116.2</v>
      </c>
      <c r="DJ31" s="1261">
        <v>116.2</v>
      </c>
      <c r="DK31" s="1261">
        <v>133.4</v>
      </c>
      <c r="DL31" s="1261">
        <v>136.69999999999999</v>
      </c>
      <c r="DM31" s="1261">
        <v>136.9</v>
      </c>
      <c r="DN31" s="1261">
        <v>136.80000000000001</v>
      </c>
      <c r="DO31" s="1261">
        <v>136</v>
      </c>
      <c r="DP31" s="1261">
        <v>111.4</v>
      </c>
      <c r="DQ31" s="1261">
        <v>119.2</v>
      </c>
      <c r="DR31" s="1261">
        <v>116</v>
      </c>
      <c r="DS31" s="1261">
        <v>125.2</v>
      </c>
      <c r="DT31" s="1261">
        <v>164.4</v>
      </c>
      <c r="DU31" s="1261">
        <v>123.1</v>
      </c>
      <c r="DV31" s="1261">
        <v>120.1</v>
      </c>
      <c r="DW31" s="1261">
        <v>118.6</v>
      </c>
      <c r="DX31" s="1261">
        <v>115.3</v>
      </c>
      <c r="DY31" s="1261">
        <v>151.4</v>
      </c>
      <c r="DZ31" s="1261">
        <v>91.5</v>
      </c>
      <c r="EA31" s="1261">
        <v>92.9</v>
      </c>
      <c r="EB31" s="1261">
        <v>92.9</v>
      </c>
      <c r="EC31" s="1261">
        <v>93.3</v>
      </c>
      <c r="ED31" s="1261">
        <v>92.3</v>
      </c>
      <c r="EE31" s="1261">
        <v>103.1</v>
      </c>
      <c r="EF31" s="1261">
        <v>123.5</v>
      </c>
      <c r="EG31" s="1261">
        <v>117.7</v>
      </c>
      <c r="EH31" s="1261">
        <v>115.9</v>
      </c>
      <c r="EI31" s="1261">
        <v>125.9</v>
      </c>
      <c r="EJ31" s="1261">
        <v>117.1</v>
      </c>
      <c r="EK31" s="1261">
        <v>114</v>
      </c>
      <c r="EL31" s="1261">
        <v>120.4</v>
      </c>
      <c r="EM31" s="1261">
        <v>114.7</v>
      </c>
      <c r="EN31" s="1261">
        <v>123.8</v>
      </c>
      <c r="EO31" s="1261">
        <v>119.9</v>
      </c>
      <c r="EP31" s="1261">
        <v>102</v>
      </c>
      <c r="EQ31" s="1261">
        <v>102.1</v>
      </c>
      <c r="ER31" s="1261">
        <v>99.7</v>
      </c>
      <c r="ES31" s="1261">
        <v>129.80000000000001</v>
      </c>
      <c r="ET31" s="1261">
        <v>131.19999999999999</v>
      </c>
      <c r="EU31" s="1261">
        <v>123.5</v>
      </c>
      <c r="EV31" s="1261">
        <v>118.9</v>
      </c>
      <c r="EW31" s="1261">
        <v>118.4</v>
      </c>
      <c r="EX31" s="1261">
        <v>136.9</v>
      </c>
      <c r="EY31" s="1261">
        <v>124.1</v>
      </c>
      <c r="EZ31" s="1261">
        <v>120.4</v>
      </c>
      <c r="FA31" s="1261">
        <v>121.1</v>
      </c>
      <c r="FB31" s="1261">
        <v>127.8</v>
      </c>
      <c r="FC31" s="1261">
        <v>92.1</v>
      </c>
      <c r="FD31" s="1261">
        <v>91.3</v>
      </c>
      <c r="FE31" s="1261">
        <v>96.8</v>
      </c>
      <c r="FF31" s="1261">
        <v>99.7</v>
      </c>
      <c r="FG31" s="1261">
        <v>98.2</v>
      </c>
      <c r="FH31" s="1261">
        <v>96.5</v>
      </c>
      <c r="FI31" s="1261">
        <v>102.6</v>
      </c>
      <c r="FJ31" s="1261">
        <v>104.3</v>
      </c>
      <c r="FK31" s="1261">
        <v>93.4</v>
      </c>
      <c r="FL31" s="1261">
        <v>98.4</v>
      </c>
      <c r="FM31" s="1261">
        <v>99.8</v>
      </c>
      <c r="FN31" s="1261">
        <v>102.3</v>
      </c>
      <c r="FO31" s="1261">
        <v>96.6</v>
      </c>
      <c r="FP31" s="1261">
        <v>103.8</v>
      </c>
      <c r="FQ31" s="1261">
        <v>95.5</v>
      </c>
      <c r="FR31" s="1261">
        <v>100.9</v>
      </c>
      <c r="FS31" s="1261">
        <v>107.8</v>
      </c>
      <c r="FT31" s="1261">
        <v>97.6</v>
      </c>
      <c r="FU31" s="1261">
        <v>93.4</v>
      </c>
      <c r="FV31" s="1261">
        <v>100.5</v>
      </c>
      <c r="FW31" s="1261">
        <v>97.8</v>
      </c>
      <c r="FX31" s="1261">
        <v>97.3</v>
      </c>
      <c r="FY31" s="1261">
        <v>107.7</v>
      </c>
      <c r="FZ31" s="1261">
        <v>109.1</v>
      </c>
      <c r="GA31" s="1261">
        <v>105.7</v>
      </c>
      <c r="GB31" s="1261">
        <v>105.2</v>
      </c>
      <c r="GC31" s="1261">
        <v>110.8</v>
      </c>
      <c r="GD31" s="1261">
        <v>99.8</v>
      </c>
      <c r="GE31" s="1261">
        <v>100.3</v>
      </c>
      <c r="GF31" s="1251">
        <f t="shared" si="2"/>
        <v>101.35</v>
      </c>
      <c r="GG31" s="1251">
        <f t="shared" si="1"/>
        <v>106.85</v>
      </c>
      <c r="GH31" s="1261">
        <v>102.9</v>
      </c>
      <c r="GI31" s="1261">
        <v>92.1</v>
      </c>
      <c r="GJ31" s="1261">
        <v>127.9</v>
      </c>
      <c r="GK31" s="1261">
        <v>120.3</v>
      </c>
      <c r="GL31" s="1261">
        <v>125.7</v>
      </c>
      <c r="GM31" s="1261">
        <v>114.6</v>
      </c>
      <c r="GN31" s="1261">
        <v>117.5</v>
      </c>
      <c r="GO31" s="1261">
        <v>119.1</v>
      </c>
      <c r="GP31" s="1261">
        <v>123.6</v>
      </c>
      <c r="GQ31" s="1261">
        <v>120.6</v>
      </c>
      <c r="GR31" s="1261">
        <v>123.9</v>
      </c>
      <c r="GS31" s="1261">
        <v>123.3</v>
      </c>
      <c r="GT31" s="1261">
        <v>99</v>
      </c>
      <c r="GU31" s="1261">
        <v>117.5</v>
      </c>
      <c r="GV31" s="1261">
        <v>117.4</v>
      </c>
      <c r="GW31" s="1261">
        <v>131.5</v>
      </c>
      <c r="GX31" s="1261">
        <v>129.1</v>
      </c>
      <c r="GY31" s="1261">
        <v>124.4</v>
      </c>
      <c r="GZ31" s="1261">
        <v>130.19999999999999</v>
      </c>
      <c r="HA31" s="1261">
        <v>125.5</v>
      </c>
      <c r="HB31" s="1261">
        <v>134.69999999999999</v>
      </c>
      <c r="HC31" s="1261">
        <v>130.19999999999999</v>
      </c>
      <c r="HD31" s="1261">
        <v>117.2</v>
      </c>
      <c r="HE31" s="759"/>
      <c r="HF31" s="759">
        <f t="shared" si="0"/>
        <v>164.4</v>
      </c>
    </row>
    <row r="32" spans="1:214" ht="22.15" customHeight="1">
      <c r="A32" s="1249">
        <v>2000</v>
      </c>
      <c r="B32" s="1261">
        <v>104.1</v>
      </c>
      <c r="C32" s="1261">
        <v>98.9</v>
      </c>
      <c r="D32" s="1261">
        <v>99.1</v>
      </c>
      <c r="E32" s="1261">
        <v>94.2</v>
      </c>
      <c r="F32" s="1261">
        <v>94.6</v>
      </c>
      <c r="G32" s="1261">
        <v>148.30000000000001</v>
      </c>
      <c r="H32" s="1261">
        <v>106.9</v>
      </c>
      <c r="I32" s="1261">
        <v>104.9</v>
      </c>
      <c r="J32" s="1261">
        <v>94.4</v>
      </c>
      <c r="K32" s="1261">
        <v>95.7</v>
      </c>
      <c r="L32" s="1261">
        <v>129.4</v>
      </c>
      <c r="M32" s="1261">
        <v>125.2</v>
      </c>
      <c r="N32" s="1261">
        <v>129.4</v>
      </c>
      <c r="O32" s="1261">
        <v>129.9</v>
      </c>
      <c r="P32" s="1261">
        <v>129.69999999999999</v>
      </c>
      <c r="Q32" s="1261">
        <v>128</v>
      </c>
      <c r="R32" s="1261">
        <v>131.5</v>
      </c>
      <c r="S32" s="1261">
        <v>127.1</v>
      </c>
      <c r="T32" s="1261">
        <v>146.9</v>
      </c>
      <c r="U32" s="1261">
        <v>128.69999999999999</v>
      </c>
      <c r="V32" s="1261">
        <v>130.69999999999999</v>
      </c>
      <c r="W32" s="1261">
        <v>137.1</v>
      </c>
      <c r="X32" s="1261">
        <v>109.8</v>
      </c>
      <c r="Y32" s="1261">
        <v>111.8</v>
      </c>
      <c r="Z32" s="1261">
        <v>108.8</v>
      </c>
      <c r="AA32" s="1261">
        <v>122.7</v>
      </c>
      <c r="AB32" s="1261">
        <v>122.6</v>
      </c>
      <c r="AC32" s="1261">
        <v>122.9</v>
      </c>
      <c r="AD32" s="1261">
        <v>122.4</v>
      </c>
      <c r="AE32" s="1261">
        <v>122.7</v>
      </c>
      <c r="AF32" s="1261">
        <v>121.5</v>
      </c>
      <c r="AG32" s="1261">
        <v>126.4</v>
      </c>
      <c r="AH32" s="1261">
        <v>123.2</v>
      </c>
      <c r="AI32" s="1261">
        <v>117.4</v>
      </c>
      <c r="AJ32" s="1261">
        <v>113.8</v>
      </c>
      <c r="AK32" s="1261">
        <v>102.4</v>
      </c>
      <c r="AL32" s="1261">
        <v>99</v>
      </c>
      <c r="AM32" s="1261">
        <v>101.8</v>
      </c>
      <c r="AN32" s="1261">
        <v>101.2</v>
      </c>
      <c r="AO32" s="1261">
        <v>93.6</v>
      </c>
      <c r="AP32" s="1261">
        <v>98.9</v>
      </c>
      <c r="AQ32" s="1261">
        <v>94.9</v>
      </c>
      <c r="AR32" s="1261">
        <v>106.1</v>
      </c>
      <c r="AS32" s="1261">
        <v>94.1</v>
      </c>
      <c r="AT32" s="1261">
        <v>97</v>
      </c>
      <c r="AU32" s="1261">
        <v>97.5</v>
      </c>
      <c r="AV32" s="1261">
        <v>144.80000000000001</v>
      </c>
      <c r="AW32" s="1261">
        <v>112.9</v>
      </c>
      <c r="AX32" s="1261">
        <v>112.1</v>
      </c>
      <c r="AY32" s="1261">
        <v>131.19999999999999</v>
      </c>
      <c r="AZ32" s="1261">
        <v>115.1</v>
      </c>
      <c r="BA32" s="1261">
        <v>124.6</v>
      </c>
      <c r="BB32" s="1261">
        <v>119</v>
      </c>
      <c r="BC32" s="1261">
        <v>122.2</v>
      </c>
      <c r="BD32" s="1261">
        <v>116.2</v>
      </c>
      <c r="BE32" s="1261">
        <v>109.8</v>
      </c>
      <c r="BF32" s="1261">
        <v>111.5</v>
      </c>
      <c r="BG32" s="1261">
        <v>108.4</v>
      </c>
      <c r="BH32" s="1261">
        <v>117.8</v>
      </c>
      <c r="BI32" s="1261">
        <v>113.2</v>
      </c>
      <c r="BJ32" s="1261">
        <v>109.1</v>
      </c>
      <c r="BK32" s="1261">
        <v>106.9</v>
      </c>
      <c r="BL32" s="1261">
        <v>110.8</v>
      </c>
      <c r="BM32" s="1261">
        <v>108.8</v>
      </c>
      <c r="BN32" s="1261">
        <v>112.6</v>
      </c>
      <c r="BO32" s="1261">
        <v>108.9</v>
      </c>
      <c r="BP32" s="1261">
        <v>99</v>
      </c>
      <c r="BQ32" s="1261">
        <v>98.1</v>
      </c>
      <c r="BR32" s="1261">
        <v>101</v>
      </c>
      <c r="BS32" s="1261">
        <v>101.1</v>
      </c>
      <c r="BT32" s="1261">
        <v>101.4</v>
      </c>
      <c r="BU32" s="1261">
        <v>109.3</v>
      </c>
      <c r="BV32" s="1261">
        <v>97.8</v>
      </c>
      <c r="BW32" s="1261">
        <v>99.7</v>
      </c>
      <c r="BX32" s="1261">
        <v>102.1</v>
      </c>
      <c r="BY32" s="1261">
        <v>96.2</v>
      </c>
      <c r="BZ32" s="1261">
        <v>105.7</v>
      </c>
      <c r="CA32" s="1261">
        <v>105.4</v>
      </c>
      <c r="CB32" s="1261">
        <v>107.7</v>
      </c>
      <c r="CC32" s="1261">
        <v>138.9</v>
      </c>
      <c r="CD32" s="1261">
        <v>129.4</v>
      </c>
      <c r="CE32" s="1261">
        <v>128.4</v>
      </c>
      <c r="CF32" s="1261">
        <v>129.69999999999999</v>
      </c>
      <c r="CG32" s="1261">
        <v>130.30000000000001</v>
      </c>
      <c r="CH32" s="1261">
        <v>128.30000000000001</v>
      </c>
      <c r="CI32" s="1261">
        <v>116.7</v>
      </c>
      <c r="CJ32" s="1261">
        <v>121</v>
      </c>
      <c r="CK32" s="1261">
        <v>127.3</v>
      </c>
      <c r="CL32" s="1261">
        <v>124.3</v>
      </c>
      <c r="CM32" s="1261">
        <v>125.8</v>
      </c>
      <c r="CN32" s="1261">
        <v>125.3</v>
      </c>
      <c r="CO32" s="1261">
        <v>119.8</v>
      </c>
      <c r="CP32" s="1261">
        <v>102.7</v>
      </c>
      <c r="CQ32" s="1261">
        <v>111.6</v>
      </c>
      <c r="CR32" s="1261">
        <v>117.6</v>
      </c>
      <c r="CS32" s="1261">
        <v>115.9</v>
      </c>
      <c r="CT32" s="1261">
        <v>124.1</v>
      </c>
      <c r="CU32" s="1261">
        <v>131.1</v>
      </c>
      <c r="CV32" s="1261">
        <v>120.1</v>
      </c>
      <c r="CW32" s="1261">
        <v>97.2</v>
      </c>
      <c r="CX32" s="1261">
        <v>92.9</v>
      </c>
      <c r="CY32" s="1261">
        <v>118.2</v>
      </c>
      <c r="CZ32" s="1261">
        <v>111.9</v>
      </c>
      <c r="DA32" s="1261">
        <v>122.4</v>
      </c>
      <c r="DB32" s="1261">
        <v>104.3</v>
      </c>
      <c r="DC32" s="1261">
        <v>113.7</v>
      </c>
      <c r="DD32" s="1261">
        <v>113.9</v>
      </c>
      <c r="DE32" s="1261">
        <v>98.8</v>
      </c>
      <c r="DF32" s="1261">
        <v>107</v>
      </c>
      <c r="DG32" s="1261">
        <v>125.8</v>
      </c>
      <c r="DH32" s="1261">
        <v>118.2</v>
      </c>
      <c r="DI32" s="1261">
        <v>111.9</v>
      </c>
      <c r="DJ32" s="1261">
        <v>111.9</v>
      </c>
      <c r="DK32" s="1261">
        <v>128.4</v>
      </c>
      <c r="DL32" s="1261">
        <v>130.5</v>
      </c>
      <c r="DM32" s="1261">
        <v>132.6</v>
      </c>
      <c r="DN32" s="1261">
        <v>132.4</v>
      </c>
      <c r="DO32" s="1261">
        <v>130.6</v>
      </c>
      <c r="DP32" s="1261">
        <v>109</v>
      </c>
      <c r="DQ32" s="1261">
        <v>116.5</v>
      </c>
      <c r="DR32" s="1261">
        <v>112.4</v>
      </c>
      <c r="DS32" s="1261">
        <v>122.3</v>
      </c>
      <c r="DT32" s="1261">
        <v>159.19999999999999</v>
      </c>
      <c r="DU32" s="1261">
        <v>120</v>
      </c>
      <c r="DV32" s="1261">
        <v>117.5</v>
      </c>
      <c r="DW32" s="1261">
        <v>115.1</v>
      </c>
      <c r="DX32" s="1261">
        <v>112.4</v>
      </c>
      <c r="DY32" s="1261">
        <v>144.80000000000001</v>
      </c>
      <c r="DZ32" s="1261">
        <v>90.3</v>
      </c>
      <c r="EA32" s="1261">
        <v>91.6</v>
      </c>
      <c r="EB32" s="1261">
        <v>91.6</v>
      </c>
      <c r="EC32" s="1261">
        <v>91.9</v>
      </c>
      <c r="ED32" s="1261">
        <v>91</v>
      </c>
      <c r="EE32" s="1261">
        <v>97.9</v>
      </c>
      <c r="EF32" s="1261">
        <v>117.8</v>
      </c>
      <c r="EG32" s="1261">
        <v>112.7</v>
      </c>
      <c r="EH32" s="1261">
        <v>110.1</v>
      </c>
      <c r="EI32" s="1261">
        <v>121.3</v>
      </c>
      <c r="EJ32" s="1261">
        <v>112.5</v>
      </c>
      <c r="EK32" s="1261">
        <v>109</v>
      </c>
      <c r="EL32" s="1261">
        <v>115</v>
      </c>
      <c r="EM32" s="1261">
        <v>109.2</v>
      </c>
      <c r="EN32" s="1261">
        <v>115.7</v>
      </c>
      <c r="EO32" s="1261">
        <v>114.1</v>
      </c>
      <c r="EP32" s="1261">
        <v>98.7</v>
      </c>
      <c r="EQ32" s="1261">
        <v>98.9</v>
      </c>
      <c r="ER32" s="1261">
        <v>97.5</v>
      </c>
      <c r="ES32" s="1261">
        <v>126.3</v>
      </c>
      <c r="ET32" s="1261">
        <v>127.4</v>
      </c>
      <c r="EU32" s="1261">
        <v>119.9</v>
      </c>
      <c r="EV32" s="1261">
        <v>114.6</v>
      </c>
      <c r="EW32" s="1261">
        <v>114</v>
      </c>
      <c r="EX32" s="1261">
        <v>132.1</v>
      </c>
      <c r="EY32" s="1261">
        <v>120.9</v>
      </c>
      <c r="EZ32" s="1261">
        <v>115.9</v>
      </c>
      <c r="FA32" s="1261">
        <v>117.7</v>
      </c>
      <c r="FB32" s="1261">
        <v>122.8</v>
      </c>
      <c r="FC32" s="1261">
        <v>89.9</v>
      </c>
      <c r="FD32" s="1261">
        <v>89.1</v>
      </c>
      <c r="FE32" s="1261">
        <v>94.2</v>
      </c>
      <c r="FF32" s="1261">
        <v>98</v>
      </c>
      <c r="FG32" s="1261">
        <v>96.9</v>
      </c>
      <c r="FH32" s="1261">
        <v>95</v>
      </c>
      <c r="FI32" s="1261">
        <v>100.8</v>
      </c>
      <c r="FJ32" s="1261">
        <v>100.8</v>
      </c>
      <c r="FK32" s="1261">
        <v>93.4</v>
      </c>
      <c r="FL32" s="1261">
        <v>98.1</v>
      </c>
      <c r="FM32" s="1261">
        <v>99.1</v>
      </c>
      <c r="FN32" s="1261">
        <v>101.6</v>
      </c>
      <c r="FO32" s="1261">
        <v>96.9</v>
      </c>
      <c r="FP32" s="1261">
        <v>102.7</v>
      </c>
      <c r="FQ32" s="1261">
        <v>92.4</v>
      </c>
      <c r="FR32" s="1261">
        <v>99.9</v>
      </c>
      <c r="FS32" s="1261">
        <v>106</v>
      </c>
      <c r="FT32" s="1261">
        <v>97.6</v>
      </c>
      <c r="FU32" s="1261">
        <v>93.4</v>
      </c>
      <c r="FV32" s="1261">
        <v>99.4</v>
      </c>
      <c r="FW32" s="1261">
        <v>97.3</v>
      </c>
      <c r="FX32" s="1261">
        <v>96.9</v>
      </c>
      <c r="FY32" s="1261">
        <v>104.6</v>
      </c>
      <c r="FZ32" s="1261">
        <v>106.5</v>
      </c>
      <c r="GA32" s="1261">
        <v>98.9</v>
      </c>
      <c r="GB32" s="1261">
        <v>98.3</v>
      </c>
      <c r="GC32" s="1261">
        <v>108.1</v>
      </c>
      <c r="GD32" s="1261">
        <v>96.5</v>
      </c>
      <c r="GE32" s="1261">
        <v>97.6</v>
      </c>
      <c r="GF32" s="1251">
        <f t="shared" si="2"/>
        <v>98.35</v>
      </c>
      <c r="GG32" s="1251">
        <f t="shared" si="1"/>
        <v>104.15</v>
      </c>
      <c r="GH32" s="1261">
        <v>100.2</v>
      </c>
      <c r="GI32" s="1261">
        <v>90.7</v>
      </c>
      <c r="GJ32" s="1261">
        <v>124.6</v>
      </c>
      <c r="GK32" s="1261">
        <v>118.3</v>
      </c>
      <c r="GL32" s="1261">
        <v>122.9</v>
      </c>
      <c r="GM32" s="1261">
        <v>111.5</v>
      </c>
      <c r="GN32" s="1261">
        <v>114.4</v>
      </c>
      <c r="GO32" s="1261">
        <v>114.6</v>
      </c>
      <c r="GP32" s="1261">
        <v>119.1</v>
      </c>
      <c r="GQ32" s="1261">
        <v>116.6</v>
      </c>
      <c r="GR32" s="1261">
        <v>120.5</v>
      </c>
      <c r="GS32" s="1261">
        <v>118.7</v>
      </c>
      <c r="GT32" s="1261">
        <v>98.1</v>
      </c>
      <c r="GU32" s="1261">
        <v>115.9</v>
      </c>
      <c r="GV32" s="1261">
        <v>115.8</v>
      </c>
      <c r="GW32" s="1261">
        <v>130</v>
      </c>
      <c r="GX32" s="1261">
        <v>127.5</v>
      </c>
      <c r="GY32" s="1261">
        <v>122.8</v>
      </c>
      <c r="GZ32" s="1261">
        <v>128.80000000000001</v>
      </c>
      <c r="HA32" s="1261">
        <v>124.1</v>
      </c>
      <c r="HB32" s="1261">
        <v>133.1</v>
      </c>
      <c r="HC32" s="1261">
        <v>128.4</v>
      </c>
      <c r="HD32" s="1261">
        <v>115.6</v>
      </c>
      <c r="HE32" s="759"/>
      <c r="HF32" s="759">
        <f t="shared" si="0"/>
        <v>159.19999999999999</v>
      </c>
    </row>
    <row r="33" spans="1:214" ht="22.15" customHeight="1">
      <c r="A33" s="1249">
        <v>1999</v>
      </c>
      <c r="B33" s="1261">
        <v>101.2</v>
      </c>
      <c r="C33" s="1261">
        <v>97.4</v>
      </c>
      <c r="D33" s="1261">
        <v>97.7</v>
      </c>
      <c r="E33" s="1261">
        <v>92.5</v>
      </c>
      <c r="F33" s="1261">
        <v>92.8</v>
      </c>
      <c r="G33" s="1261">
        <v>145.9</v>
      </c>
      <c r="H33" s="1261">
        <v>105.5</v>
      </c>
      <c r="I33" s="1261">
        <v>103.3</v>
      </c>
      <c r="J33" s="1261">
        <v>93.1</v>
      </c>
      <c r="K33" s="1261">
        <v>94.4</v>
      </c>
      <c r="L33" s="1261">
        <v>127.9</v>
      </c>
      <c r="M33" s="1261">
        <v>123.6</v>
      </c>
      <c r="N33" s="1261">
        <v>126.9</v>
      </c>
      <c r="O33" s="1261">
        <v>128.69999999999999</v>
      </c>
      <c r="P33" s="1261">
        <v>128.19999999999999</v>
      </c>
      <c r="Q33" s="1261">
        <v>126.5</v>
      </c>
      <c r="R33" s="1261">
        <v>129.4</v>
      </c>
      <c r="S33" s="1261">
        <v>124.9</v>
      </c>
      <c r="T33" s="1261">
        <v>145.1</v>
      </c>
      <c r="U33" s="1261">
        <v>127.2</v>
      </c>
      <c r="V33" s="1261">
        <v>127.9</v>
      </c>
      <c r="W33" s="1261">
        <v>135.30000000000001</v>
      </c>
      <c r="X33" s="1261">
        <v>107</v>
      </c>
      <c r="Y33" s="1261">
        <v>109.1</v>
      </c>
      <c r="Z33" s="1261">
        <v>107.1</v>
      </c>
      <c r="AA33" s="1261">
        <v>121.1</v>
      </c>
      <c r="AB33" s="1261">
        <v>121.3</v>
      </c>
      <c r="AC33" s="1261">
        <v>121.2</v>
      </c>
      <c r="AD33" s="1261">
        <v>121.1</v>
      </c>
      <c r="AE33" s="1261">
        <v>121.3</v>
      </c>
      <c r="AF33" s="1261">
        <v>120</v>
      </c>
      <c r="AG33" s="1261">
        <v>122</v>
      </c>
      <c r="AH33" s="1261">
        <v>121.2</v>
      </c>
      <c r="AI33" s="1261">
        <v>116.6</v>
      </c>
      <c r="AJ33" s="1261">
        <v>111.5</v>
      </c>
      <c r="AK33" s="1261">
        <v>101.4</v>
      </c>
      <c r="AL33" s="1261">
        <v>98</v>
      </c>
      <c r="AM33" s="1261">
        <v>100.8</v>
      </c>
      <c r="AN33" s="1261">
        <v>100.1</v>
      </c>
      <c r="AO33" s="1261">
        <v>92.5</v>
      </c>
      <c r="AP33" s="1261">
        <v>97.9</v>
      </c>
      <c r="AQ33" s="1261">
        <v>93.5</v>
      </c>
      <c r="AR33" s="1261">
        <v>102.9</v>
      </c>
      <c r="AS33" s="1261">
        <v>92.8</v>
      </c>
      <c r="AT33" s="1261">
        <v>95.8</v>
      </c>
      <c r="AU33" s="1261">
        <v>96</v>
      </c>
      <c r="AV33" s="1261">
        <v>143</v>
      </c>
      <c r="AW33" s="1261">
        <v>110.2</v>
      </c>
      <c r="AX33" s="1261">
        <v>109.6</v>
      </c>
      <c r="AY33" s="1261">
        <v>129.6</v>
      </c>
      <c r="AZ33" s="1261">
        <v>113</v>
      </c>
      <c r="BA33" s="1261">
        <v>122.6</v>
      </c>
      <c r="BB33" s="1261">
        <v>116.4</v>
      </c>
      <c r="BC33" s="1261">
        <v>120.7</v>
      </c>
      <c r="BD33" s="1261">
        <v>113.8</v>
      </c>
      <c r="BE33" s="1261">
        <v>107.1</v>
      </c>
      <c r="BF33" s="1261">
        <v>109.3</v>
      </c>
      <c r="BG33" s="1261">
        <v>106.8</v>
      </c>
      <c r="BH33" s="1261">
        <v>112.8</v>
      </c>
      <c r="BI33" s="1261">
        <v>110.6</v>
      </c>
      <c r="BJ33" s="1261">
        <v>105.7</v>
      </c>
      <c r="BK33" s="1261">
        <v>103.7</v>
      </c>
      <c r="BL33" s="1261">
        <v>107.9</v>
      </c>
      <c r="BM33" s="1261">
        <v>104.1</v>
      </c>
      <c r="BN33" s="1261">
        <v>109.2</v>
      </c>
      <c r="BO33" s="1261">
        <v>107.6</v>
      </c>
      <c r="BP33" s="1261">
        <v>96.7</v>
      </c>
      <c r="BQ33" s="1261">
        <v>96.4</v>
      </c>
      <c r="BR33" s="1261">
        <v>98.7</v>
      </c>
      <c r="BS33" s="1261">
        <v>99.3</v>
      </c>
      <c r="BT33" s="1261">
        <v>99.7</v>
      </c>
      <c r="BU33" s="1261">
        <v>106.6</v>
      </c>
      <c r="BV33" s="1261">
        <v>96.1</v>
      </c>
      <c r="BW33" s="1261">
        <v>97.6</v>
      </c>
      <c r="BX33" s="1261">
        <v>99.5</v>
      </c>
      <c r="BY33" s="1261">
        <v>94.8</v>
      </c>
      <c r="BZ33" s="1261">
        <v>105</v>
      </c>
      <c r="CA33" s="1261">
        <v>104.7</v>
      </c>
      <c r="CB33" s="1261">
        <v>106.4</v>
      </c>
      <c r="CC33" s="1261">
        <v>136.19999999999999</v>
      </c>
      <c r="CD33" s="1261">
        <v>126.7</v>
      </c>
      <c r="CE33" s="1261">
        <v>126.3</v>
      </c>
      <c r="CF33" s="1261">
        <v>127.3</v>
      </c>
      <c r="CG33" s="1261">
        <v>127.4</v>
      </c>
      <c r="CH33" s="1261">
        <v>126.2</v>
      </c>
      <c r="CI33" s="1261">
        <v>115</v>
      </c>
      <c r="CJ33" s="1261">
        <v>118.8</v>
      </c>
      <c r="CK33" s="1261">
        <v>123.8</v>
      </c>
      <c r="CL33" s="1261">
        <v>117.5</v>
      </c>
      <c r="CM33" s="1261">
        <v>122.7</v>
      </c>
      <c r="CN33" s="1261">
        <v>122.6</v>
      </c>
      <c r="CO33" s="1261">
        <v>113.7</v>
      </c>
      <c r="CP33" s="1261">
        <v>100.9</v>
      </c>
      <c r="CQ33" s="1261">
        <v>106.1</v>
      </c>
      <c r="CR33" s="1261">
        <v>111.5</v>
      </c>
      <c r="CS33" s="1261">
        <v>110.1</v>
      </c>
      <c r="CT33" s="1261">
        <v>120.3</v>
      </c>
      <c r="CU33" s="1261">
        <v>126.5</v>
      </c>
      <c r="CV33" s="1261">
        <v>117.1</v>
      </c>
      <c r="CW33" s="1261">
        <v>95.7</v>
      </c>
      <c r="CX33" s="1261">
        <v>91.8</v>
      </c>
      <c r="CY33" s="1261">
        <v>114.9</v>
      </c>
      <c r="CZ33" s="1261">
        <v>106.1</v>
      </c>
      <c r="DA33" s="1261">
        <v>119.8</v>
      </c>
      <c r="DB33" s="1261">
        <v>101.1</v>
      </c>
      <c r="DC33" s="1261">
        <v>112.1</v>
      </c>
      <c r="DD33" s="1261">
        <v>112.7</v>
      </c>
      <c r="DE33" s="1261">
        <v>96.6</v>
      </c>
      <c r="DF33" s="1261">
        <v>104.8</v>
      </c>
      <c r="DG33" s="1261">
        <v>121.9</v>
      </c>
      <c r="DH33" s="1261">
        <v>114.4</v>
      </c>
      <c r="DI33" s="1261">
        <v>109.6</v>
      </c>
      <c r="DJ33" s="1261">
        <v>109.6</v>
      </c>
      <c r="DK33" s="1261">
        <v>125.3</v>
      </c>
      <c r="DL33" s="1261">
        <v>128.80000000000001</v>
      </c>
      <c r="DM33" s="1261">
        <v>131.6</v>
      </c>
      <c r="DN33" s="1261">
        <v>129.5</v>
      </c>
      <c r="DO33" s="1261">
        <v>129.6</v>
      </c>
      <c r="DP33" s="1261">
        <v>106.7</v>
      </c>
      <c r="DQ33" s="1261">
        <v>114.6</v>
      </c>
      <c r="DR33" s="1261">
        <v>108.6</v>
      </c>
      <c r="DS33" s="1261">
        <v>120.2</v>
      </c>
      <c r="DT33" s="1261">
        <v>155.9</v>
      </c>
      <c r="DU33" s="1261">
        <v>116.8</v>
      </c>
      <c r="DV33" s="1261">
        <v>114.7</v>
      </c>
      <c r="DW33" s="1261">
        <v>113.7</v>
      </c>
      <c r="DX33" s="1261">
        <v>108.5</v>
      </c>
      <c r="DY33" s="1261">
        <v>140.6</v>
      </c>
      <c r="DZ33" s="1261">
        <v>89.3</v>
      </c>
      <c r="EA33" s="1261">
        <v>90.2</v>
      </c>
      <c r="EB33" s="1261">
        <v>90.3</v>
      </c>
      <c r="EC33" s="1261">
        <v>90.5</v>
      </c>
      <c r="ED33" s="1261">
        <v>90.1</v>
      </c>
      <c r="EE33" s="1261">
        <v>96.8</v>
      </c>
      <c r="EF33" s="1261">
        <v>116</v>
      </c>
      <c r="EG33" s="1261">
        <v>110.6</v>
      </c>
      <c r="EH33" s="1261">
        <v>107.9</v>
      </c>
      <c r="EI33" s="1261">
        <v>118.7</v>
      </c>
      <c r="EJ33" s="1261">
        <v>109.5</v>
      </c>
      <c r="EK33" s="1261">
        <v>107.1</v>
      </c>
      <c r="EL33" s="1261">
        <v>112</v>
      </c>
      <c r="EM33" s="1261">
        <v>106.4</v>
      </c>
      <c r="EN33" s="1261">
        <v>113.6</v>
      </c>
      <c r="EO33" s="1261">
        <v>111.9</v>
      </c>
      <c r="EP33" s="1261">
        <v>97.5</v>
      </c>
      <c r="EQ33" s="1261">
        <v>97.4</v>
      </c>
      <c r="ER33" s="1261">
        <v>96.2</v>
      </c>
      <c r="ES33" s="1261">
        <v>120.9</v>
      </c>
      <c r="ET33" s="1261">
        <v>124.3</v>
      </c>
      <c r="EU33" s="1261">
        <v>117.8</v>
      </c>
      <c r="EV33" s="1261">
        <v>113.8</v>
      </c>
      <c r="EW33" s="1261">
        <v>112.8</v>
      </c>
      <c r="EX33" s="1261">
        <v>129.80000000000001</v>
      </c>
      <c r="EY33" s="1261">
        <v>119.6</v>
      </c>
      <c r="EZ33" s="1261">
        <v>114.8</v>
      </c>
      <c r="FA33" s="1261">
        <v>116.3</v>
      </c>
      <c r="FB33" s="1261">
        <v>121.6</v>
      </c>
      <c r="FC33" s="1261">
        <v>89</v>
      </c>
      <c r="FD33" s="1261">
        <v>88.1</v>
      </c>
      <c r="FE33" s="1261">
        <v>92.4</v>
      </c>
      <c r="FF33" s="1261">
        <v>95.8</v>
      </c>
      <c r="FG33" s="1261">
        <v>95.9</v>
      </c>
      <c r="FH33" s="1261">
        <v>93.4</v>
      </c>
      <c r="FI33" s="1261">
        <v>99.7</v>
      </c>
      <c r="FJ33" s="1261">
        <v>98.6</v>
      </c>
      <c r="FK33" s="1261">
        <v>91.8</v>
      </c>
      <c r="FL33" s="1261">
        <v>94.5</v>
      </c>
      <c r="FM33" s="1261">
        <v>96</v>
      </c>
      <c r="FN33" s="1261">
        <v>99.7</v>
      </c>
      <c r="FO33" s="1261">
        <v>94</v>
      </c>
      <c r="FP33" s="1261">
        <v>101</v>
      </c>
      <c r="FQ33" s="1261">
        <v>90.7</v>
      </c>
      <c r="FR33" s="1261">
        <v>97.6</v>
      </c>
      <c r="FS33" s="1261">
        <v>104.6</v>
      </c>
      <c r="FT33" s="1261">
        <v>96</v>
      </c>
      <c r="FU33" s="1261">
        <v>92.1</v>
      </c>
      <c r="FV33" s="1261">
        <v>98</v>
      </c>
      <c r="FW33" s="1261">
        <v>94.8</v>
      </c>
      <c r="FX33" s="1261">
        <v>95.5</v>
      </c>
      <c r="FY33" s="1261">
        <v>103.3</v>
      </c>
      <c r="FZ33" s="1261">
        <v>104.5</v>
      </c>
      <c r="GA33" s="1261">
        <v>98.2</v>
      </c>
      <c r="GB33" s="1261">
        <v>97.7</v>
      </c>
      <c r="GC33" s="1261">
        <v>106.1</v>
      </c>
      <c r="GD33" s="1261">
        <v>95.6</v>
      </c>
      <c r="GE33" s="1261">
        <v>96.5</v>
      </c>
      <c r="GF33" s="1251">
        <f t="shared" si="2"/>
        <v>97.199999999999989</v>
      </c>
      <c r="GG33" s="1251">
        <f t="shared" si="1"/>
        <v>102.44999999999999</v>
      </c>
      <c r="GH33" s="1261">
        <v>98.8</v>
      </c>
      <c r="GI33" s="1261">
        <v>89.8</v>
      </c>
      <c r="GJ33" s="1261">
        <v>123.3</v>
      </c>
      <c r="GK33" s="1261">
        <v>116.7</v>
      </c>
      <c r="GL33" s="1261">
        <v>121.6</v>
      </c>
      <c r="GM33" s="1261">
        <v>110.6</v>
      </c>
      <c r="GN33" s="1261">
        <v>113.4</v>
      </c>
      <c r="GO33" s="1261">
        <v>112.1</v>
      </c>
      <c r="GP33" s="1261">
        <v>115.8</v>
      </c>
      <c r="GQ33" s="1261">
        <v>115.9</v>
      </c>
      <c r="GR33" s="1261">
        <v>117.4</v>
      </c>
      <c r="GS33" s="1261">
        <v>115.5</v>
      </c>
      <c r="GT33" s="1261">
        <v>96.9</v>
      </c>
      <c r="GU33" s="1261">
        <v>115.3</v>
      </c>
      <c r="GV33" s="1261">
        <v>115.2</v>
      </c>
      <c r="GW33" s="1261">
        <v>128.1</v>
      </c>
      <c r="GX33" s="1261">
        <v>125.6</v>
      </c>
      <c r="GY33" s="1261">
        <v>120.8</v>
      </c>
      <c r="GZ33" s="1261">
        <v>126.8</v>
      </c>
      <c r="HA33" s="1261">
        <v>121.9</v>
      </c>
      <c r="HB33" s="1261">
        <v>131.19999999999999</v>
      </c>
      <c r="HC33" s="1261">
        <v>127.1</v>
      </c>
      <c r="HD33" s="1261">
        <v>115.2</v>
      </c>
      <c r="HE33" s="759"/>
      <c r="HF33" s="759">
        <f t="shared" si="0"/>
        <v>155.9</v>
      </c>
    </row>
    <row r="34" spans="1:214" ht="22.15" customHeight="1">
      <c r="A34" s="1253">
        <v>1998</v>
      </c>
      <c r="B34" s="1261">
        <v>96.2</v>
      </c>
      <c r="C34" s="1261">
        <v>94</v>
      </c>
      <c r="D34" s="1261">
        <v>94.8</v>
      </c>
      <c r="E34" s="1261">
        <v>90.3</v>
      </c>
      <c r="F34" s="1261">
        <v>89.8</v>
      </c>
      <c r="G34" s="1261">
        <v>143.80000000000001</v>
      </c>
      <c r="H34" s="1261">
        <v>102.1</v>
      </c>
      <c r="I34" s="1261">
        <v>101</v>
      </c>
      <c r="J34" s="1261">
        <v>90.6</v>
      </c>
      <c r="K34" s="1261">
        <v>91.4</v>
      </c>
      <c r="L34" s="1261">
        <v>125.2</v>
      </c>
      <c r="M34" s="1261">
        <v>120.3</v>
      </c>
      <c r="N34" s="1261">
        <v>123.9</v>
      </c>
      <c r="O34" s="1261">
        <v>125.8</v>
      </c>
      <c r="P34" s="1261">
        <v>124.7</v>
      </c>
      <c r="Q34" s="1261">
        <v>123.7</v>
      </c>
      <c r="R34" s="1261">
        <v>125.9</v>
      </c>
      <c r="S34" s="1261">
        <v>121.3</v>
      </c>
      <c r="T34" s="1261">
        <v>141.9</v>
      </c>
      <c r="U34" s="1261">
        <v>123.7</v>
      </c>
      <c r="V34" s="1261">
        <v>124.7</v>
      </c>
      <c r="W34" s="1261">
        <v>132.5</v>
      </c>
      <c r="X34" s="1261">
        <v>103.3</v>
      </c>
      <c r="Y34" s="1261">
        <v>106.5</v>
      </c>
      <c r="Z34" s="1261">
        <v>103.7</v>
      </c>
      <c r="AA34" s="1261">
        <v>119.1</v>
      </c>
      <c r="AB34" s="1261">
        <v>119.4</v>
      </c>
      <c r="AC34" s="1261">
        <v>120</v>
      </c>
      <c r="AD34" s="1261">
        <v>119.7</v>
      </c>
      <c r="AE34" s="1261">
        <v>120</v>
      </c>
      <c r="AF34" s="1261">
        <v>118.8</v>
      </c>
      <c r="AG34" s="1261">
        <v>120.8</v>
      </c>
      <c r="AH34" s="1261">
        <v>120.1</v>
      </c>
      <c r="AI34" s="1261">
        <v>112.3</v>
      </c>
      <c r="AJ34" s="1261">
        <v>109.6</v>
      </c>
      <c r="AK34" s="1261">
        <v>99.4</v>
      </c>
      <c r="AL34" s="1261">
        <v>96.2</v>
      </c>
      <c r="AM34" s="1261">
        <v>99</v>
      </c>
      <c r="AN34" s="1261">
        <v>98.4</v>
      </c>
      <c r="AO34" s="1261">
        <v>90.9</v>
      </c>
      <c r="AP34" s="1261">
        <v>96.3</v>
      </c>
      <c r="AQ34" s="1261">
        <v>91.4</v>
      </c>
      <c r="AR34" s="1261">
        <v>100.8</v>
      </c>
      <c r="AS34" s="1261">
        <v>90.4</v>
      </c>
      <c r="AT34" s="1261">
        <v>93.3</v>
      </c>
      <c r="AU34" s="1261">
        <v>93.7</v>
      </c>
      <c r="AV34" s="1261">
        <v>140.4</v>
      </c>
      <c r="AW34" s="1261">
        <v>107.4</v>
      </c>
      <c r="AX34" s="1261">
        <v>107</v>
      </c>
      <c r="AY34" s="1261">
        <v>125.2</v>
      </c>
      <c r="AZ34" s="1261">
        <v>110.1</v>
      </c>
      <c r="BA34" s="1261">
        <v>119.8</v>
      </c>
      <c r="BB34" s="1261">
        <v>113.8</v>
      </c>
      <c r="BC34" s="1261">
        <v>115.5</v>
      </c>
      <c r="BD34" s="1261">
        <v>111.1</v>
      </c>
      <c r="BE34" s="1261">
        <v>105</v>
      </c>
      <c r="BF34" s="1261">
        <v>107.2</v>
      </c>
      <c r="BG34" s="1261">
        <v>104.5</v>
      </c>
      <c r="BH34" s="1261">
        <v>111.1</v>
      </c>
      <c r="BI34" s="1261">
        <v>108</v>
      </c>
      <c r="BJ34" s="1261">
        <v>103.6</v>
      </c>
      <c r="BK34" s="1261">
        <v>102.3</v>
      </c>
      <c r="BL34" s="1261">
        <v>106</v>
      </c>
      <c r="BM34" s="1261">
        <v>102.5</v>
      </c>
      <c r="BN34" s="1261">
        <v>106.8</v>
      </c>
      <c r="BO34" s="1261">
        <v>103.8</v>
      </c>
      <c r="BP34" s="1261">
        <v>95.1</v>
      </c>
      <c r="BQ34" s="1261">
        <v>94.8</v>
      </c>
      <c r="BR34" s="1261">
        <v>97.4</v>
      </c>
      <c r="BS34" s="1261">
        <v>97.4</v>
      </c>
      <c r="BT34" s="1261">
        <v>97.4</v>
      </c>
      <c r="BU34" s="1261">
        <v>101.5</v>
      </c>
      <c r="BV34" s="1261">
        <v>94.7</v>
      </c>
      <c r="BW34" s="1261">
        <v>96.1</v>
      </c>
      <c r="BX34" s="1261">
        <v>97.7</v>
      </c>
      <c r="BY34" s="1261">
        <v>92</v>
      </c>
      <c r="BZ34" s="1261">
        <v>102.8</v>
      </c>
      <c r="CA34" s="1261">
        <v>102.5</v>
      </c>
      <c r="CB34" s="1261">
        <v>104.1</v>
      </c>
      <c r="CC34" s="1261">
        <v>132.80000000000001</v>
      </c>
      <c r="CD34" s="1261">
        <v>125</v>
      </c>
      <c r="CE34" s="1261">
        <v>124.7</v>
      </c>
      <c r="CF34" s="1261">
        <v>125</v>
      </c>
      <c r="CG34" s="1261">
        <v>125.3</v>
      </c>
      <c r="CH34" s="1261">
        <v>124.6</v>
      </c>
      <c r="CI34" s="1261">
        <v>114.2</v>
      </c>
      <c r="CJ34" s="1261">
        <v>117.1</v>
      </c>
      <c r="CK34" s="1261">
        <v>122.6</v>
      </c>
      <c r="CL34" s="1261">
        <v>116</v>
      </c>
      <c r="CM34" s="1261">
        <v>119.7</v>
      </c>
      <c r="CN34" s="1261">
        <v>119.5</v>
      </c>
      <c r="CO34" s="1261">
        <v>112.3</v>
      </c>
      <c r="CP34" s="1261">
        <v>99.7</v>
      </c>
      <c r="CQ34" s="1261">
        <v>104.9</v>
      </c>
      <c r="CR34" s="1261">
        <v>110.1</v>
      </c>
      <c r="CS34" s="1261">
        <v>108.7</v>
      </c>
      <c r="CT34" s="1261">
        <v>117.7</v>
      </c>
      <c r="CU34" s="1261">
        <v>124.6</v>
      </c>
      <c r="CV34" s="1261">
        <v>115.5</v>
      </c>
      <c r="CW34" s="1261">
        <v>92.1</v>
      </c>
      <c r="CX34" s="1261">
        <v>89.5</v>
      </c>
      <c r="CY34" s="1261">
        <v>108.2</v>
      </c>
      <c r="CZ34" s="1261">
        <v>104.2</v>
      </c>
      <c r="DA34" s="1261">
        <v>115.9</v>
      </c>
      <c r="DB34" s="1261">
        <v>98.9</v>
      </c>
      <c r="DC34" s="1261">
        <v>109.7</v>
      </c>
      <c r="DD34" s="1261">
        <v>109.1</v>
      </c>
      <c r="DE34" s="1261">
        <v>94.9</v>
      </c>
      <c r="DF34" s="1261">
        <v>101.2</v>
      </c>
      <c r="DG34" s="1261">
        <v>118.1</v>
      </c>
      <c r="DH34" s="1261">
        <v>111.4</v>
      </c>
      <c r="DI34" s="1261">
        <v>110.1</v>
      </c>
      <c r="DJ34" s="1261">
        <v>110</v>
      </c>
      <c r="DK34" s="1261">
        <v>124.3</v>
      </c>
      <c r="DL34" s="1261">
        <v>127.7</v>
      </c>
      <c r="DM34" s="1261">
        <v>128.9</v>
      </c>
      <c r="DN34" s="1261">
        <v>128.5</v>
      </c>
      <c r="DO34" s="1261">
        <v>127.9</v>
      </c>
      <c r="DP34" s="1261">
        <v>103.8</v>
      </c>
      <c r="DQ34" s="1261">
        <v>113</v>
      </c>
      <c r="DR34" s="1261">
        <v>109</v>
      </c>
      <c r="DS34" s="1261">
        <v>119.1</v>
      </c>
      <c r="DT34" s="1261">
        <v>154.4</v>
      </c>
      <c r="DU34" s="1261">
        <v>117.2</v>
      </c>
      <c r="DV34" s="1261">
        <v>114.2</v>
      </c>
      <c r="DW34" s="1261">
        <v>113.6</v>
      </c>
      <c r="DX34" s="1261">
        <v>108.6</v>
      </c>
      <c r="DY34" s="1261">
        <v>141.4</v>
      </c>
      <c r="DZ34" s="1261">
        <v>88.2</v>
      </c>
      <c r="EA34" s="1261">
        <v>89.1</v>
      </c>
      <c r="EB34" s="1261">
        <v>89.2</v>
      </c>
      <c r="EC34" s="1261">
        <v>89.4</v>
      </c>
      <c r="ED34" s="1261">
        <v>89</v>
      </c>
      <c r="EE34" s="1261">
        <v>95.2</v>
      </c>
      <c r="EF34" s="1261">
        <v>113.1</v>
      </c>
      <c r="EG34" s="1261">
        <v>108.5</v>
      </c>
      <c r="EH34" s="1261">
        <v>105</v>
      </c>
      <c r="EI34" s="1261">
        <v>114.8</v>
      </c>
      <c r="EJ34" s="1261">
        <v>106.8</v>
      </c>
      <c r="EK34" s="1261">
        <v>104.5</v>
      </c>
      <c r="EL34" s="1261">
        <v>109.4</v>
      </c>
      <c r="EM34" s="1261">
        <v>104.1</v>
      </c>
      <c r="EN34" s="1261">
        <v>111.2</v>
      </c>
      <c r="EO34" s="1261">
        <v>109</v>
      </c>
      <c r="EP34" s="1261">
        <v>94.3</v>
      </c>
      <c r="EQ34" s="1261">
        <v>94.5</v>
      </c>
      <c r="ER34" s="1261">
        <v>94.5</v>
      </c>
      <c r="ES34" s="1261">
        <v>120</v>
      </c>
      <c r="ET34" s="1261">
        <v>122.2</v>
      </c>
      <c r="EU34" s="1261">
        <v>115.7</v>
      </c>
      <c r="EV34" s="1261">
        <v>109.8</v>
      </c>
      <c r="EW34" s="1261">
        <v>110.5</v>
      </c>
      <c r="EX34" s="1261">
        <v>126.6</v>
      </c>
      <c r="EY34" s="1261">
        <v>117.1</v>
      </c>
      <c r="EZ34" s="1261">
        <v>112.5</v>
      </c>
      <c r="FA34" s="1261">
        <v>113.7</v>
      </c>
      <c r="FB34" s="1261">
        <v>120.3</v>
      </c>
      <c r="FC34" s="1261">
        <v>88</v>
      </c>
      <c r="FD34" s="1261">
        <v>87.2</v>
      </c>
      <c r="FE34" s="1261">
        <v>90.7</v>
      </c>
      <c r="FF34" s="1261">
        <v>93.6</v>
      </c>
      <c r="FG34" s="1261">
        <v>94.9</v>
      </c>
      <c r="FH34" s="1261">
        <v>92.4</v>
      </c>
      <c r="FI34" s="1261">
        <v>97.2</v>
      </c>
      <c r="FJ34" s="1261">
        <v>96.8</v>
      </c>
      <c r="FK34" s="1261">
        <v>89.8</v>
      </c>
      <c r="FL34" s="1261">
        <v>92.7</v>
      </c>
      <c r="FM34" s="1261">
        <v>94.2</v>
      </c>
      <c r="FN34" s="1261">
        <v>97.9</v>
      </c>
      <c r="FO34" s="1261">
        <v>91.8</v>
      </c>
      <c r="FP34" s="1261">
        <v>97.9</v>
      </c>
      <c r="FQ34" s="1261">
        <v>88.4</v>
      </c>
      <c r="FR34" s="1261">
        <v>94.5</v>
      </c>
      <c r="FS34" s="1261">
        <v>101.3</v>
      </c>
      <c r="FT34" s="1261">
        <v>93.3</v>
      </c>
      <c r="FU34" s="1261">
        <v>90.1</v>
      </c>
      <c r="FV34" s="1261">
        <v>94.8</v>
      </c>
      <c r="FW34" s="1261">
        <v>92.7</v>
      </c>
      <c r="FX34" s="1261">
        <v>92.9</v>
      </c>
      <c r="FY34" s="1261">
        <v>98.5</v>
      </c>
      <c r="FZ34" s="1261">
        <v>99.5</v>
      </c>
      <c r="GA34" s="1261">
        <v>97.8</v>
      </c>
      <c r="GB34" s="1261">
        <v>97.3</v>
      </c>
      <c r="GC34" s="1261">
        <v>104.1</v>
      </c>
      <c r="GD34" s="1261">
        <v>93.7</v>
      </c>
      <c r="GE34" s="1261">
        <v>93.9</v>
      </c>
      <c r="GF34" s="1251">
        <f t="shared" si="2"/>
        <v>95.35</v>
      </c>
      <c r="GG34" s="1251">
        <f t="shared" si="1"/>
        <v>100.55</v>
      </c>
      <c r="GH34" s="1261">
        <v>97</v>
      </c>
      <c r="GI34" s="1261">
        <v>88.3</v>
      </c>
      <c r="GJ34" s="1261">
        <v>119.4</v>
      </c>
      <c r="GK34" s="1261">
        <v>114.3</v>
      </c>
      <c r="GL34" s="1261">
        <v>118.3</v>
      </c>
      <c r="GM34" s="1261">
        <v>106.7</v>
      </c>
      <c r="GN34" s="1261">
        <v>109</v>
      </c>
      <c r="GO34" s="1261">
        <v>109.5</v>
      </c>
      <c r="GP34" s="1261">
        <v>112.9</v>
      </c>
      <c r="GQ34" s="1261">
        <v>110.8</v>
      </c>
      <c r="GR34" s="1261">
        <v>113.4</v>
      </c>
      <c r="GS34" s="1261">
        <v>112.7</v>
      </c>
      <c r="GT34" s="1261">
        <v>95.4</v>
      </c>
      <c r="GU34" s="1261">
        <v>112.5</v>
      </c>
      <c r="GV34" s="1261">
        <v>112.4</v>
      </c>
      <c r="GW34" s="1261">
        <v>126.3</v>
      </c>
      <c r="GX34" s="1261">
        <v>123.9</v>
      </c>
      <c r="GY34" s="1261">
        <v>119</v>
      </c>
      <c r="GZ34" s="1261">
        <v>124.7</v>
      </c>
      <c r="HA34" s="1261">
        <v>119.6</v>
      </c>
      <c r="HB34" s="1261">
        <v>128.5</v>
      </c>
      <c r="HC34" s="1261">
        <v>123.8</v>
      </c>
      <c r="HD34" s="1261">
        <v>113.7</v>
      </c>
      <c r="HE34" s="759"/>
      <c r="HF34" s="759">
        <f t="shared" si="0"/>
        <v>154.4</v>
      </c>
    </row>
    <row r="36" spans="1:214" ht="49.9" customHeight="1">
      <c r="A36" s="755" t="s">
        <v>1184</v>
      </c>
      <c r="B36" s="756"/>
      <c r="C36" s="756"/>
      <c r="D36" s="756"/>
      <c r="E36" s="756"/>
      <c r="F36" s="757"/>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759"/>
      <c r="AM36" s="759"/>
      <c r="AN36" s="759"/>
      <c r="AO36" s="759"/>
      <c r="AP36" s="759"/>
      <c r="AQ36" s="759"/>
      <c r="AR36" s="759"/>
      <c r="AS36" s="759"/>
      <c r="AT36" s="759"/>
      <c r="AU36" s="759"/>
      <c r="AV36" s="759"/>
      <c r="AW36" s="759"/>
      <c r="AX36" s="759"/>
      <c r="AY36" s="759"/>
      <c r="AZ36" s="759"/>
      <c r="BA36" s="759"/>
      <c r="BB36" s="759"/>
      <c r="BC36" s="759"/>
      <c r="BD36" s="759"/>
      <c r="BE36" s="759"/>
      <c r="BF36" s="759"/>
      <c r="BG36" s="759"/>
      <c r="BH36" s="759"/>
      <c r="BI36" s="759"/>
      <c r="BJ36" s="759"/>
      <c r="BK36" s="759"/>
      <c r="BL36" s="759"/>
      <c r="BM36" s="759"/>
      <c r="BN36" s="759"/>
      <c r="BO36" s="759"/>
      <c r="BP36" s="759"/>
      <c r="BQ36" s="759"/>
      <c r="BR36" s="759"/>
      <c r="BS36" s="759"/>
      <c r="BT36" s="759"/>
      <c r="BU36" s="759"/>
      <c r="BV36" s="759"/>
      <c r="BW36" s="759"/>
      <c r="BX36" s="759"/>
      <c r="BY36" s="759"/>
      <c r="BZ36" s="759"/>
      <c r="CA36" s="759"/>
      <c r="CB36" s="759"/>
      <c r="CC36" s="759"/>
      <c r="CD36" s="759"/>
      <c r="CE36" s="759"/>
      <c r="CF36" s="759"/>
      <c r="CG36" s="759"/>
      <c r="CH36" s="759"/>
      <c r="CI36" s="759"/>
      <c r="CJ36" s="759"/>
      <c r="CK36" s="759"/>
      <c r="CL36" s="759"/>
      <c r="CM36" s="759"/>
      <c r="CN36" s="759"/>
      <c r="CO36" s="759"/>
      <c r="CP36" s="759"/>
      <c r="CQ36" s="759"/>
      <c r="CR36" s="759"/>
      <c r="CS36" s="759"/>
      <c r="CT36" s="759"/>
      <c r="CU36" s="759"/>
      <c r="CV36" s="759"/>
      <c r="CW36" s="759"/>
      <c r="CX36" s="759"/>
      <c r="CY36" s="759"/>
      <c r="CZ36" s="759"/>
      <c r="DA36" s="759"/>
      <c r="DB36" s="759"/>
      <c r="DC36" s="759"/>
      <c r="DD36" s="759"/>
      <c r="DE36" s="759"/>
      <c r="DF36" s="759"/>
      <c r="DG36" s="759"/>
      <c r="DH36" s="759"/>
      <c r="DI36" s="759"/>
      <c r="DJ36" s="759"/>
      <c r="DK36" s="759"/>
      <c r="DL36" s="759"/>
      <c r="DM36" s="759"/>
      <c r="DN36" s="759"/>
      <c r="DO36" s="759"/>
      <c r="DP36" s="759"/>
      <c r="DQ36" s="759"/>
      <c r="DR36" s="759"/>
      <c r="DS36" s="759"/>
      <c r="DT36" s="759"/>
      <c r="DU36" s="759"/>
      <c r="DV36" s="759"/>
      <c r="DW36" s="759"/>
      <c r="DX36" s="759"/>
      <c r="DY36" s="759"/>
      <c r="DZ36" s="759"/>
      <c r="EA36" s="759"/>
      <c r="EB36" s="759"/>
      <c r="EC36" s="759"/>
      <c r="ED36" s="759"/>
      <c r="EE36" s="759"/>
      <c r="EF36" s="759"/>
      <c r="EG36" s="759"/>
      <c r="EH36" s="759"/>
      <c r="EI36" s="759"/>
      <c r="EJ36" s="759"/>
      <c r="EK36" s="759"/>
      <c r="EL36" s="759"/>
      <c r="EM36" s="759"/>
      <c r="EN36" s="759"/>
      <c r="EO36" s="759"/>
      <c r="EP36" s="759"/>
      <c r="EQ36" s="759"/>
      <c r="ER36" s="759"/>
      <c r="ES36" s="759"/>
      <c r="ET36" s="759"/>
      <c r="EU36" s="759"/>
      <c r="EV36" s="759"/>
      <c r="EW36" s="759"/>
      <c r="EX36" s="759"/>
      <c r="EY36" s="759"/>
      <c r="EZ36" s="759"/>
      <c r="FA36" s="759"/>
      <c r="FB36" s="759"/>
      <c r="FC36" s="759"/>
      <c r="FD36" s="759"/>
      <c r="FE36" s="759"/>
      <c r="FF36" s="759"/>
      <c r="FG36" s="759"/>
      <c r="FH36" s="759"/>
      <c r="FI36" s="759"/>
      <c r="FJ36" s="759"/>
      <c r="FK36" s="759"/>
      <c r="FL36" s="759"/>
      <c r="FM36" s="759"/>
      <c r="FN36" s="759"/>
      <c r="FO36" s="759"/>
      <c r="FP36" s="759"/>
      <c r="FQ36" s="759"/>
      <c r="FR36" s="759"/>
      <c r="FS36" s="759"/>
      <c r="FT36" s="759"/>
      <c r="FU36" s="759"/>
      <c r="FV36" s="759"/>
      <c r="FW36" s="759"/>
      <c r="FX36" s="759"/>
      <c r="FY36" s="759"/>
      <c r="FZ36" s="759"/>
      <c r="GA36" s="759"/>
      <c r="GB36" s="759"/>
      <c r="GC36" s="759"/>
      <c r="GD36" s="759"/>
      <c r="GE36" s="759"/>
      <c r="GF36" s="759"/>
      <c r="GG36" s="759"/>
      <c r="GH36" s="759"/>
      <c r="GI36" s="759"/>
      <c r="GJ36" s="759"/>
      <c r="GK36" s="759"/>
      <c r="GL36" s="759"/>
      <c r="GM36" s="759"/>
      <c r="GN36" s="759"/>
      <c r="GO36" s="759"/>
      <c r="GP36" s="759"/>
      <c r="GQ36" s="759"/>
      <c r="GR36" s="759"/>
      <c r="GS36" s="759"/>
      <c r="GT36" s="759"/>
      <c r="GU36" s="759"/>
      <c r="GV36" s="759"/>
      <c r="GW36" s="759"/>
      <c r="GX36" s="759"/>
      <c r="GY36" s="759"/>
      <c r="GZ36" s="759"/>
      <c r="HA36" s="759"/>
      <c r="HB36" s="759"/>
      <c r="HC36" s="759"/>
      <c r="HD36" s="759"/>
      <c r="HE36" s="759"/>
      <c r="HF36" s="759"/>
    </row>
    <row r="37" spans="1:214" ht="49.9" customHeight="1">
      <c r="A37" s="755" t="s">
        <v>1185</v>
      </c>
      <c r="B37" s="726"/>
      <c r="C37" s="726"/>
      <c r="D37" s="726"/>
      <c r="E37" s="726"/>
      <c r="F37" s="727"/>
      <c r="G37" s="759"/>
      <c r="H37" s="759"/>
      <c r="I37" s="759"/>
      <c r="J37" s="759"/>
      <c r="K37" s="759"/>
      <c r="L37" s="759"/>
      <c r="M37" s="759"/>
      <c r="N37" s="759"/>
      <c r="O37" s="759"/>
      <c r="P37" s="759"/>
      <c r="Q37" s="759"/>
      <c r="R37" s="759"/>
      <c r="S37" s="759"/>
      <c r="T37" s="759"/>
      <c r="U37" s="759"/>
      <c r="V37" s="759"/>
      <c r="W37" s="759"/>
      <c r="X37" s="759"/>
      <c r="Y37" s="759"/>
      <c r="Z37" s="759"/>
      <c r="AA37" s="759"/>
      <c r="AB37" s="759"/>
      <c r="AC37" s="759"/>
      <c r="AD37" s="759"/>
      <c r="AE37" s="759"/>
      <c r="AF37" s="759"/>
      <c r="AG37" s="759"/>
      <c r="AH37" s="759"/>
      <c r="AI37" s="759"/>
      <c r="AJ37" s="759"/>
      <c r="AK37" s="759"/>
      <c r="AL37" s="759"/>
      <c r="AM37" s="759"/>
      <c r="AN37" s="759"/>
      <c r="AO37" s="759"/>
      <c r="AP37" s="759"/>
      <c r="AQ37" s="759"/>
      <c r="AR37" s="759"/>
      <c r="AS37" s="759"/>
      <c r="AT37" s="759"/>
      <c r="AU37" s="759"/>
      <c r="AV37" s="759"/>
      <c r="AW37" s="759"/>
      <c r="AX37" s="759"/>
      <c r="AY37" s="759"/>
      <c r="AZ37" s="759"/>
      <c r="BA37" s="759"/>
      <c r="BB37" s="759"/>
      <c r="BC37" s="759"/>
      <c r="BD37" s="759"/>
      <c r="BE37" s="759"/>
      <c r="BF37" s="759"/>
      <c r="BG37" s="759"/>
      <c r="BH37" s="759"/>
      <c r="BI37" s="759"/>
      <c r="BJ37" s="759"/>
      <c r="BK37" s="759"/>
      <c r="BL37" s="759"/>
      <c r="BM37" s="759"/>
      <c r="BN37" s="759"/>
      <c r="BO37" s="759"/>
      <c r="BP37" s="759"/>
      <c r="BQ37" s="759"/>
      <c r="BR37" s="759"/>
      <c r="BS37" s="759"/>
      <c r="BT37" s="759"/>
      <c r="BU37" s="759"/>
      <c r="BV37" s="759"/>
      <c r="BW37" s="759"/>
      <c r="BX37" s="759"/>
      <c r="BY37" s="759"/>
      <c r="BZ37" s="759"/>
      <c r="CA37" s="759"/>
      <c r="CB37" s="759"/>
      <c r="CC37" s="759"/>
      <c r="CD37" s="759"/>
      <c r="CE37" s="759"/>
      <c r="CF37" s="759"/>
      <c r="CG37" s="759"/>
      <c r="CH37" s="759"/>
      <c r="CI37" s="759"/>
      <c r="CJ37" s="759"/>
      <c r="CK37" s="759"/>
      <c r="CL37" s="759"/>
      <c r="CM37" s="759"/>
      <c r="CN37" s="759"/>
      <c r="CO37" s="759"/>
      <c r="CP37" s="759"/>
      <c r="CQ37" s="759"/>
      <c r="CR37" s="759"/>
      <c r="CS37" s="759"/>
      <c r="CT37" s="759"/>
      <c r="CU37" s="759"/>
      <c r="CV37" s="759"/>
      <c r="CW37" s="759"/>
      <c r="CX37" s="759"/>
      <c r="CY37" s="759"/>
      <c r="CZ37" s="759"/>
      <c r="DA37" s="759"/>
      <c r="DB37" s="759"/>
      <c r="DC37" s="759"/>
      <c r="DD37" s="759"/>
      <c r="DE37" s="759"/>
      <c r="DF37" s="759"/>
      <c r="DG37" s="759"/>
      <c r="DH37" s="759"/>
      <c r="DI37" s="759"/>
      <c r="DJ37" s="759"/>
      <c r="DK37" s="759"/>
      <c r="DL37" s="759"/>
      <c r="DM37" s="759"/>
      <c r="DN37" s="759"/>
      <c r="DO37" s="759"/>
      <c r="DP37" s="759"/>
      <c r="DQ37" s="759"/>
      <c r="DR37" s="759"/>
      <c r="DS37" s="759"/>
      <c r="DT37" s="759"/>
      <c r="DU37" s="759"/>
      <c r="DV37" s="759"/>
      <c r="DW37" s="759"/>
      <c r="DX37" s="759"/>
      <c r="DY37" s="759"/>
      <c r="DZ37" s="759"/>
      <c r="EA37" s="759"/>
      <c r="EB37" s="759"/>
      <c r="EC37" s="759"/>
      <c r="ED37" s="759"/>
      <c r="EE37" s="759"/>
      <c r="EF37" s="759"/>
      <c r="EG37" s="759"/>
      <c r="EH37" s="759"/>
      <c r="EI37" s="759"/>
      <c r="EJ37" s="759"/>
      <c r="EK37" s="759"/>
      <c r="EL37" s="759"/>
      <c r="EM37" s="759"/>
      <c r="EN37" s="759"/>
      <c r="EO37" s="759"/>
      <c r="EP37" s="759"/>
      <c r="EQ37" s="759"/>
      <c r="ER37" s="759"/>
      <c r="ES37" s="759"/>
      <c r="ET37" s="759"/>
      <c r="EU37" s="759"/>
      <c r="EV37" s="759"/>
      <c r="EW37" s="759"/>
      <c r="EX37" s="759"/>
      <c r="EY37" s="759"/>
      <c r="EZ37" s="759"/>
      <c r="FA37" s="759"/>
      <c r="FB37" s="759"/>
      <c r="FC37" s="759"/>
      <c r="FD37" s="759"/>
      <c r="FE37" s="759"/>
      <c r="FF37" s="759"/>
      <c r="FG37" s="759"/>
      <c r="FH37" s="759"/>
      <c r="FI37" s="759"/>
      <c r="FJ37" s="759"/>
      <c r="FK37" s="759"/>
      <c r="FL37" s="759"/>
      <c r="FM37" s="759"/>
      <c r="FN37" s="759"/>
      <c r="FO37" s="759"/>
      <c r="FP37" s="759"/>
      <c r="FQ37" s="759"/>
      <c r="FR37" s="759"/>
      <c r="FS37" s="759"/>
      <c r="FT37" s="759"/>
      <c r="FU37" s="759"/>
      <c r="FV37" s="759"/>
      <c r="FW37" s="759"/>
      <c r="FX37" s="759"/>
      <c r="FY37" s="759"/>
      <c r="FZ37" s="759"/>
      <c r="GA37" s="759"/>
      <c r="GB37" s="759"/>
      <c r="GC37" s="759"/>
      <c r="GD37" s="759"/>
      <c r="GE37" s="759"/>
      <c r="GF37" s="759"/>
      <c r="GG37" s="759"/>
      <c r="GH37" s="759"/>
      <c r="GI37" s="759"/>
      <c r="GJ37" s="759"/>
      <c r="GK37" s="759"/>
      <c r="GL37" s="759"/>
      <c r="GM37" s="759"/>
      <c r="GN37" s="759"/>
      <c r="GO37" s="759"/>
      <c r="GP37" s="759"/>
      <c r="GQ37" s="759"/>
      <c r="GR37" s="759"/>
      <c r="GS37" s="759"/>
      <c r="GT37" s="759"/>
      <c r="GU37" s="759"/>
      <c r="GV37" s="759"/>
      <c r="GW37" s="759"/>
      <c r="GX37" s="759"/>
      <c r="GY37" s="759"/>
      <c r="GZ37" s="759"/>
      <c r="HA37" s="759"/>
      <c r="HB37" s="759"/>
      <c r="HC37" s="759"/>
      <c r="HD37" s="759"/>
      <c r="HE37" s="759"/>
      <c r="HF37" s="759"/>
    </row>
    <row r="38" spans="1:214" ht="49.9" customHeight="1">
      <c r="A38" s="755" t="s">
        <v>1186</v>
      </c>
      <c r="B38" s="728"/>
      <c r="C38" s="728"/>
      <c r="D38" s="728"/>
      <c r="E38" s="728"/>
      <c r="F38" s="72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759"/>
      <c r="AM38" s="759"/>
      <c r="AN38" s="759"/>
      <c r="AO38" s="759"/>
      <c r="AP38" s="759"/>
      <c r="AQ38" s="759"/>
      <c r="AR38" s="759"/>
      <c r="AS38" s="759"/>
      <c r="AT38" s="759"/>
      <c r="AU38" s="759"/>
      <c r="AV38" s="759"/>
      <c r="AW38" s="759"/>
      <c r="AX38" s="759"/>
      <c r="AY38" s="759"/>
      <c r="AZ38" s="759"/>
      <c r="BA38" s="759"/>
      <c r="BB38" s="759"/>
      <c r="BC38" s="759"/>
      <c r="BD38" s="759"/>
      <c r="BE38" s="759"/>
      <c r="BF38" s="759"/>
      <c r="BG38" s="759"/>
      <c r="BH38" s="759"/>
      <c r="BI38" s="759"/>
      <c r="BJ38" s="759"/>
      <c r="BK38" s="759"/>
      <c r="BL38" s="759"/>
      <c r="BM38" s="759"/>
      <c r="BN38" s="759"/>
      <c r="BO38" s="759"/>
      <c r="BP38" s="759"/>
      <c r="BQ38" s="759"/>
      <c r="BR38" s="759"/>
      <c r="BS38" s="759"/>
      <c r="BT38" s="759"/>
      <c r="BU38" s="759"/>
      <c r="BV38" s="759"/>
      <c r="BW38" s="759"/>
      <c r="BX38" s="759"/>
      <c r="BY38" s="759"/>
      <c r="BZ38" s="759"/>
      <c r="CA38" s="759"/>
      <c r="CB38" s="759"/>
      <c r="CC38" s="759"/>
      <c r="CD38" s="759"/>
      <c r="CE38" s="759"/>
      <c r="CF38" s="759"/>
      <c r="CG38" s="759"/>
      <c r="CH38" s="759"/>
      <c r="CI38" s="759"/>
      <c r="CJ38" s="759"/>
      <c r="CK38" s="759"/>
      <c r="CL38" s="759"/>
      <c r="CM38" s="759"/>
      <c r="CN38" s="759"/>
      <c r="CO38" s="759"/>
      <c r="CP38" s="759"/>
      <c r="CQ38" s="759"/>
      <c r="CR38" s="759"/>
      <c r="CS38" s="759"/>
      <c r="CT38" s="759"/>
      <c r="CU38" s="759"/>
      <c r="CV38" s="759"/>
      <c r="CW38" s="759"/>
      <c r="CX38" s="759"/>
      <c r="CY38" s="759"/>
      <c r="CZ38" s="759"/>
      <c r="DA38" s="759"/>
      <c r="DB38" s="759"/>
      <c r="DC38" s="759"/>
      <c r="DD38" s="759"/>
      <c r="DE38" s="759"/>
      <c r="DF38" s="759"/>
      <c r="DG38" s="759"/>
      <c r="DH38" s="759"/>
      <c r="DI38" s="759"/>
      <c r="DJ38" s="759"/>
      <c r="DK38" s="759"/>
      <c r="DL38" s="759"/>
      <c r="DM38" s="759"/>
      <c r="DN38" s="759"/>
      <c r="DO38" s="759"/>
      <c r="DP38" s="759"/>
      <c r="DQ38" s="759"/>
      <c r="DR38" s="759"/>
      <c r="DS38" s="759"/>
      <c r="DT38" s="759"/>
      <c r="DU38" s="759"/>
      <c r="DV38" s="759"/>
      <c r="DW38" s="759"/>
      <c r="DX38" s="759"/>
      <c r="DY38" s="759"/>
      <c r="DZ38" s="759"/>
      <c r="EA38" s="759"/>
      <c r="EB38" s="759"/>
      <c r="EC38" s="759"/>
      <c r="ED38" s="759"/>
      <c r="EE38" s="759"/>
      <c r="EF38" s="759"/>
      <c r="EG38" s="759"/>
      <c r="EH38" s="759"/>
      <c r="EI38" s="759"/>
      <c r="EJ38" s="759"/>
      <c r="EK38" s="759"/>
      <c r="EL38" s="759"/>
      <c r="EM38" s="759"/>
      <c r="EN38" s="759"/>
      <c r="EO38" s="759"/>
      <c r="EP38" s="759"/>
      <c r="EQ38" s="759"/>
      <c r="ER38" s="759"/>
      <c r="ES38" s="759"/>
      <c r="ET38" s="759"/>
      <c r="EU38" s="759"/>
      <c r="EV38" s="759"/>
      <c r="EW38" s="759"/>
      <c r="EX38" s="759"/>
      <c r="EY38" s="759"/>
      <c r="EZ38" s="759"/>
      <c r="FA38" s="759"/>
      <c r="FB38" s="759"/>
      <c r="FC38" s="759"/>
      <c r="FD38" s="759"/>
      <c r="FE38" s="759"/>
      <c r="FF38" s="759"/>
      <c r="FG38" s="759"/>
      <c r="FH38" s="759"/>
      <c r="FI38" s="759"/>
      <c r="FJ38" s="759"/>
      <c r="FK38" s="759"/>
      <c r="FL38" s="759"/>
      <c r="FM38" s="759"/>
      <c r="FN38" s="759"/>
      <c r="FO38" s="759"/>
      <c r="FP38" s="759"/>
      <c r="FQ38" s="759"/>
      <c r="FR38" s="759"/>
      <c r="FS38" s="759"/>
      <c r="FT38" s="759"/>
      <c r="FU38" s="759"/>
      <c r="FV38" s="759"/>
      <c r="FW38" s="759"/>
      <c r="FX38" s="759"/>
      <c r="FY38" s="759"/>
      <c r="FZ38" s="759"/>
      <c r="GA38" s="759"/>
      <c r="GB38" s="759"/>
      <c r="GC38" s="759"/>
      <c r="GD38" s="759"/>
      <c r="GE38" s="759"/>
      <c r="GF38" s="759"/>
      <c r="GG38" s="759"/>
      <c r="GH38" s="759"/>
      <c r="GI38" s="759"/>
      <c r="GJ38" s="759"/>
      <c r="GK38" s="759"/>
      <c r="GL38" s="759"/>
      <c r="GM38" s="759"/>
      <c r="GN38" s="759"/>
      <c r="GO38" s="759"/>
      <c r="GP38" s="759"/>
      <c r="GQ38" s="759"/>
      <c r="GR38" s="759"/>
      <c r="GS38" s="759"/>
      <c r="GT38" s="759"/>
      <c r="GU38" s="759"/>
      <c r="GV38" s="759"/>
      <c r="GW38" s="759"/>
      <c r="GX38" s="759"/>
      <c r="GY38" s="759"/>
      <c r="GZ38" s="759"/>
      <c r="HA38" s="759"/>
      <c r="HB38" s="759"/>
      <c r="HC38" s="759"/>
      <c r="HD38" s="759"/>
      <c r="HE38" s="759"/>
      <c r="HF38" s="759"/>
    </row>
  </sheetData>
  <sheetProtection autoFilter="0"/>
  <mergeCells count="47">
    <mergeCell ref="H2:K2"/>
    <mergeCell ref="C2:E2"/>
    <mergeCell ref="GC2:GI2"/>
    <mergeCell ref="GF3:GG3"/>
    <mergeCell ref="EP4:ER4"/>
    <mergeCell ref="GC4:GI4"/>
    <mergeCell ref="DG4:DH4"/>
    <mergeCell ref="DI4:DJ4"/>
    <mergeCell ref="DK4:DO4"/>
    <mergeCell ref="DQ4:DY4"/>
    <mergeCell ref="DZ4:ED4"/>
    <mergeCell ref="EF4:EO4"/>
    <mergeCell ref="CT4:CV4"/>
    <mergeCell ref="CW4:CX4"/>
    <mergeCell ref="CY4:DB4"/>
    <mergeCell ref="DC4:DD4"/>
    <mergeCell ref="DE4:DF4"/>
    <mergeCell ref="GJ4:GL4"/>
    <mergeCell ref="GO4:GS4"/>
    <mergeCell ref="GU4:HD4"/>
    <mergeCell ref="ES4:ET4"/>
    <mergeCell ref="EU4:FA4"/>
    <mergeCell ref="FC4:FD4"/>
    <mergeCell ref="FE4:FF4"/>
    <mergeCell ref="FY4:FZ4"/>
    <mergeCell ref="GA4:GB4"/>
    <mergeCell ref="FG4:FJ4"/>
    <mergeCell ref="GM4:GN4"/>
    <mergeCell ref="FK4:FX4"/>
    <mergeCell ref="BT4:BU4"/>
    <mergeCell ref="BV4:BY4"/>
    <mergeCell ref="BZ4:CA4"/>
    <mergeCell ref="CC4:CK4"/>
    <mergeCell ref="CL4:CS4"/>
    <mergeCell ref="AW4:AX4"/>
    <mergeCell ref="AY4:BD4"/>
    <mergeCell ref="BE4:BL4"/>
    <mergeCell ref="BM4:BQ4"/>
    <mergeCell ref="BR4:BS4"/>
    <mergeCell ref="AK4:AP4"/>
    <mergeCell ref="AQ4:AU4"/>
    <mergeCell ref="B4:F4"/>
    <mergeCell ref="H4:I4"/>
    <mergeCell ref="J4:K4"/>
    <mergeCell ref="L4:W4"/>
    <mergeCell ref="X4:Z4"/>
    <mergeCell ref="AA4:AH4"/>
  </mergeCells>
  <conditionalFormatting sqref="B5:HD34">
    <cfRule type="expression" dxfId="16" priority="2">
      <formula>B5=MAX($B5:$HD5)</formula>
    </cfRule>
  </conditionalFormatting>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I48"/>
  <sheetViews>
    <sheetView showGridLines="0" workbookViewId="0"/>
  </sheetViews>
  <sheetFormatPr defaultRowHeight="12.75"/>
  <cols>
    <col min="1" max="1" width="4" style="50" customWidth="1"/>
    <col min="2" max="2" width="3" style="50" customWidth="1"/>
    <col min="3" max="3" width="9.140625" style="50"/>
    <col min="4" max="4" width="39.5703125" style="50" customWidth="1"/>
    <col min="5" max="5" width="12.7109375" style="50" customWidth="1"/>
    <col min="6" max="6" width="12.7109375" style="56" customWidth="1"/>
    <col min="7" max="7" width="12.7109375" style="50" customWidth="1"/>
    <col min="8" max="8" width="12.7109375" style="56" customWidth="1"/>
    <col min="9" max="16" width="12.7109375" style="50" customWidth="1"/>
    <col min="17" max="256" width="9.140625" style="50"/>
    <col min="257" max="257" width="4" style="50" customWidth="1"/>
    <col min="258" max="258" width="3" style="50" customWidth="1"/>
    <col min="259" max="259" width="9.140625" style="50"/>
    <col min="260" max="260" width="30.85546875" style="50" customWidth="1"/>
    <col min="261" max="272" width="12.7109375" style="50" customWidth="1"/>
    <col min="273" max="512" width="9.140625" style="50"/>
    <col min="513" max="513" width="4" style="50" customWidth="1"/>
    <col min="514" max="514" width="3" style="50" customWidth="1"/>
    <col min="515" max="515" width="9.140625" style="50"/>
    <col min="516" max="516" width="30.85546875" style="50" customWidth="1"/>
    <col min="517" max="528" width="12.7109375" style="50" customWidth="1"/>
    <col min="529" max="768" width="9.140625" style="50"/>
    <col min="769" max="769" width="4" style="50" customWidth="1"/>
    <col min="770" max="770" width="3" style="50" customWidth="1"/>
    <col min="771" max="771" width="9.140625" style="50"/>
    <col min="772" max="772" width="30.85546875" style="50" customWidth="1"/>
    <col min="773" max="784" width="12.7109375" style="50" customWidth="1"/>
    <col min="785" max="1024" width="9.140625" style="50"/>
    <col min="1025" max="1025" width="4" style="50" customWidth="1"/>
    <col min="1026" max="1026" width="3" style="50" customWidth="1"/>
    <col min="1027" max="1027" width="9.140625" style="50"/>
    <col min="1028" max="1028" width="30.85546875" style="50" customWidth="1"/>
    <col min="1029" max="1040" width="12.7109375" style="50" customWidth="1"/>
    <col min="1041" max="1280" width="9.140625" style="50"/>
    <col min="1281" max="1281" width="4" style="50" customWidth="1"/>
    <col min="1282" max="1282" width="3" style="50" customWidth="1"/>
    <col min="1283" max="1283" width="9.140625" style="50"/>
    <col min="1284" max="1284" width="30.85546875" style="50" customWidth="1"/>
    <col min="1285" max="1296" width="12.7109375" style="50" customWidth="1"/>
    <col min="1297" max="1536" width="9.140625" style="50"/>
    <col min="1537" max="1537" width="4" style="50" customWidth="1"/>
    <col min="1538" max="1538" width="3" style="50" customWidth="1"/>
    <col min="1539" max="1539" width="9.140625" style="50"/>
    <col min="1540" max="1540" width="30.85546875" style="50" customWidth="1"/>
    <col min="1541" max="1552" width="12.7109375" style="50" customWidth="1"/>
    <col min="1553" max="1792" width="9.140625" style="50"/>
    <col min="1793" max="1793" width="4" style="50" customWidth="1"/>
    <col min="1794" max="1794" width="3" style="50" customWidth="1"/>
    <col min="1795" max="1795" width="9.140625" style="50"/>
    <col min="1796" max="1796" width="30.85546875" style="50" customWidth="1"/>
    <col min="1797" max="1808" width="12.7109375" style="50" customWidth="1"/>
    <col min="1809" max="2048" width="9.140625" style="50"/>
    <col min="2049" max="2049" width="4" style="50" customWidth="1"/>
    <col min="2050" max="2050" width="3" style="50" customWidth="1"/>
    <col min="2051" max="2051" width="9.140625" style="50"/>
    <col min="2052" max="2052" width="30.85546875" style="50" customWidth="1"/>
    <col min="2053" max="2064" width="12.7109375" style="50" customWidth="1"/>
    <col min="2065" max="2304" width="9.140625" style="50"/>
    <col min="2305" max="2305" width="4" style="50" customWidth="1"/>
    <col min="2306" max="2306" width="3" style="50" customWidth="1"/>
    <col min="2307" max="2307" width="9.140625" style="50"/>
    <col min="2308" max="2308" width="30.85546875" style="50" customWidth="1"/>
    <col min="2309" max="2320" width="12.7109375" style="50" customWidth="1"/>
    <col min="2321" max="2560" width="9.140625" style="50"/>
    <col min="2561" max="2561" width="4" style="50" customWidth="1"/>
    <col min="2562" max="2562" width="3" style="50" customWidth="1"/>
    <col min="2563" max="2563" width="9.140625" style="50"/>
    <col min="2564" max="2564" width="30.85546875" style="50" customWidth="1"/>
    <col min="2565" max="2576" width="12.7109375" style="50" customWidth="1"/>
    <col min="2577" max="2816" width="9.140625" style="50"/>
    <col min="2817" max="2817" width="4" style="50" customWidth="1"/>
    <col min="2818" max="2818" width="3" style="50" customWidth="1"/>
    <col min="2819" max="2819" width="9.140625" style="50"/>
    <col min="2820" max="2820" width="30.85546875" style="50" customWidth="1"/>
    <col min="2821" max="2832" width="12.7109375" style="50" customWidth="1"/>
    <col min="2833" max="3072" width="9.140625" style="50"/>
    <col min="3073" max="3073" width="4" style="50" customWidth="1"/>
    <col min="3074" max="3074" width="3" style="50" customWidth="1"/>
    <col min="3075" max="3075" width="9.140625" style="50"/>
    <col min="3076" max="3076" width="30.85546875" style="50" customWidth="1"/>
    <col min="3077" max="3088" width="12.7109375" style="50" customWidth="1"/>
    <col min="3089" max="3328" width="9.140625" style="50"/>
    <col min="3329" max="3329" width="4" style="50" customWidth="1"/>
    <col min="3330" max="3330" width="3" style="50" customWidth="1"/>
    <col min="3331" max="3331" width="9.140625" style="50"/>
    <col min="3332" max="3332" width="30.85546875" style="50" customWidth="1"/>
    <col min="3333" max="3344" width="12.7109375" style="50" customWidth="1"/>
    <col min="3345" max="3584" width="9.140625" style="50"/>
    <col min="3585" max="3585" width="4" style="50" customWidth="1"/>
    <col min="3586" max="3586" width="3" style="50" customWidth="1"/>
    <col min="3587" max="3587" width="9.140625" style="50"/>
    <col min="3588" max="3588" width="30.85546875" style="50" customWidth="1"/>
    <col min="3589" max="3600" width="12.7109375" style="50" customWidth="1"/>
    <col min="3601" max="3840" width="9.140625" style="50"/>
    <col min="3841" max="3841" width="4" style="50" customWidth="1"/>
    <col min="3842" max="3842" width="3" style="50" customWidth="1"/>
    <col min="3843" max="3843" width="9.140625" style="50"/>
    <col min="3844" max="3844" width="30.85546875" style="50" customWidth="1"/>
    <col min="3845" max="3856" width="12.7109375" style="50" customWidth="1"/>
    <col min="3857" max="4096" width="9.140625" style="50"/>
    <col min="4097" max="4097" width="4" style="50" customWidth="1"/>
    <col min="4098" max="4098" width="3" style="50" customWidth="1"/>
    <col min="4099" max="4099" width="9.140625" style="50"/>
    <col min="4100" max="4100" width="30.85546875" style="50" customWidth="1"/>
    <col min="4101" max="4112" width="12.7109375" style="50" customWidth="1"/>
    <col min="4113" max="4352" width="9.140625" style="50"/>
    <col min="4353" max="4353" width="4" style="50" customWidth="1"/>
    <col min="4354" max="4354" width="3" style="50" customWidth="1"/>
    <col min="4355" max="4355" width="9.140625" style="50"/>
    <col min="4356" max="4356" width="30.85546875" style="50" customWidth="1"/>
    <col min="4357" max="4368" width="12.7109375" style="50" customWidth="1"/>
    <col min="4369" max="4608" width="9.140625" style="50"/>
    <col min="4609" max="4609" width="4" style="50" customWidth="1"/>
    <col min="4610" max="4610" width="3" style="50" customWidth="1"/>
    <col min="4611" max="4611" width="9.140625" style="50"/>
    <col min="4612" max="4612" width="30.85546875" style="50" customWidth="1"/>
    <col min="4613" max="4624" width="12.7109375" style="50" customWidth="1"/>
    <col min="4625" max="4864" width="9.140625" style="50"/>
    <col min="4865" max="4865" width="4" style="50" customWidth="1"/>
    <col min="4866" max="4866" width="3" style="50" customWidth="1"/>
    <col min="4867" max="4867" width="9.140625" style="50"/>
    <col min="4868" max="4868" width="30.85546875" style="50" customWidth="1"/>
    <col min="4869" max="4880" width="12.7109375" style="50" customWidth="1"/>
    <col min="4881" max="5120" width="9.140625" style="50"/>
    <col min="5121" max="5121" width="4" style="50" customWidth="1"/>
    <col min="5122" max="5122" width="3" style="50" customWidth="1"/>
    <col min="5123" max="5123" width="9.140625" style="50"/>
    <col min="5124" max="5124" width="30.85546875" style="50" customWidth="1"/>
    <col min="5125" max="5136" width="12.7109375" style="50" customWidth="1"/>
    <col min="5137" max="5376" width="9.140625" style="50"/>
    <col min="5377" max="5377" width="4" style="50" customWidth="1"/>
    <col min="5378" max="5378" width="3" style="50" customWidth="1"/>
    <col min="5379" max="5379" width="9.140625" style="50"/>
    <col min="5380" max="5380" width="30.85546875" style="50" customWidth="1"/>
    <col min="5381" max="5392" width="12.7109375" style="50" customWidth="1"/>
    <col min="5393" max="5632" width="9.140625" style="50"/>
    <col min="5633" max="5633" width="4" style="50" customWidth="1"/>
    <col min="5634" max="5634" width="3" style="50" customWidth="1"/>
    <col min="5635" max="5635" width="9.140625" style="50"/>
    <col min="5636" max="5636" width="30.85546875" style="50" customWidth="1"/>
    <col min="5637" max="5648" width="12.7109375" style="50" customWidth="1"/>
    <col min="5649" max="5888" width="9.140625" style="50"/>
    <col min="5889" max="5889" width="4" style="50" customWidth="1"/>
    <col min="5890" max="5890" width="3" style="50" customWidth="1"/>
    <col min="5891" max="5891" width="9.140625" style="50"/>
    <col min="5892" max="5892" width="30.85546875" style="50" customWidth="1"/>
    <col min="5893" max="5904" width="12.7109375" style="50" customWidth="1"/>
    <col min="5905" max="6144" width="9.140625" style="50"/>
    <col min="6145" max="6145" width="4" style="50" customWidth="1"/>
    <col min="6146" max="6146" width="3" style="50" customWidth="1"/>
    <col min="6147" max="6147" width="9.140625" style="50"/>
    <col min="6148" max="6148" width="30.85546875" style="50" customWidth="1"/>
    <col min="6149" max="6160" width="12.7109375" style="50" customWidth="1"/>
    <col min="6161" max="6400" width="9.140625" style="50"/>
    <col min="6401" max="6401" width="4" style="50" customWidth="1"/>
    <col min="6402" max="6402" width="3" style="50" customWidth="1"/>
    <col min="6403" max="6403" width="9.140625" style="50"/>
    <col min="6404" max="6404" width="30.85546875" style="50" customWidth="1"/>
    <col min="6405" max="6416" width="12.7109375" style="50" customWidth="1"/>
    <col min="6417" max="6656" width="9.140625" style="50"/>
    <col min="6657" max="6657" width="4" style="50" customWidth="1"/>
    <col min="6658" max="6658" width="3" style="50" customWidth="1"/>
    <col min="6659" max="6659" width="9.140625" style="50"/>
    <col min="6660" max="6660" width="30.85546875" style="50" customWidth="1"/>
    <col min="6661" max="6672" width="12.7109375" style="50" customWidth="1"/>
    <col min="6673" max="6912" width="9.140625" style="50"/>
    <col min="6913" max="6913" width="4" style="50" customWidth="1"/>
    <col min="6914" max="6914" width="3" style="50" customWidth="1"/>
    <col min="6915" max="6915" width="9.140625" style="50"/>
    <col min="6916" max="6916" width="30.85546875" style="50" customWidth="1"/>
    <col min="6917" max="6928" width="12.7109375" style="50" customWidth="1"/>
    <col min="6929" max="7168" width="9.140625" style="50"/>
    <col min="7169" max="7169" width="4" style="50" customWidth="1"/>
    <col min="7170" max="7170" width="3" style="50" customWidth="1"/>
    <col min="7171" max="7171" width="9.140625" style="50"/>
    <col min="7172" max="7172" width="30.85546875" style="50" customWidth="1"/>
    <col min="7173" max="7184" width="12.7109375" style="50" customWidth="1"/>
    <col min="7185" max="7424" width="9.140625" style="50"/>
    <col min="7425" max="7425" width="4" style="50" customWidth="1"/>
    <col min="7426" max="7426" width="3" style="50" customWidth="1"/>
    <col min="7427" max="7427" width="9.140625" style="50"/>
    <col min="7428" max="7428" width="30.85546875" style="50" customWidth="1"/>
    <col min="7429" max="7440" width="12.7109375" style="50" customWidth="1"/>
    <col min="7441" max="7680" width="9.140625" style="50"/>
    <col min="7681" max="7681" width="4" style="50" customWidth="1"/>
    <col min="7682" max="7682" width="3" style="50" customWidth="1"/>
    <col min="7683" max="7683" width="9.140625" style="50"/>
    <col min="7684" max="7684" width="30.85546875" style="50" customWidth="1"/>
    <col min="7685" max="7696" width="12.7109375" style="50" customWidth="1"/>
    <col min="7697" max="7936" width="9.140625" style="50"/>
    <col min="7937" max="7937" width="4" style="50" customWidth="1"/>
    <col min="7938" max="7938" width="3" style="50" customWidth="1"/>
    <col min="7939" max="7939" width="9.140625" style="50"/>
    <col min="7940" max="7940" width="30.85546875" style="50" customWidth="1"/>
    <col min="7941" max="7952" width="12.7109375" style="50" customWidth="1"/>
    <col min="7953" max="8192" width="9.140625" style="50"/>
    <col min="8193" max="8193" width="4" style="50" customWidth="1"/>
    <col min="8194" max="8194" width="3" style="50" customWidth="1"/>
    <col min="8195" max="8195" width="9.140625" style="50"/>
    <col min="8196" max="8196" width="30.85546875" style="50" customWidth="1"/>
    <col min="8197" max="8208" width="12.7109375" style="50" customWidth="1"/>
    <col min="8209" max="8448" width="9.140625" style="50"/>
    <col min="8449" max="8449" width="4" style="50" customWidth="1"/>
    <col min="8450" max="8450" width="3" style="50" customWidth="1"/>
    <col min="8451" max="8451" width="9.140625" style="50"/>
    <col min="8452" max="8452" width="30.85546875" style="50" customWidth="1"/>
    <col min="8453" max="8464" width="12.7109375" style="50" customWidth="1"/>
    <col min="8465" max="8704" width="9.140625" style="50"/>
    <col min="8705" max="8705" width="4" style="50" customWidth="1"/>
    <col min="8706" max="8706" width="3" style="50" customWidth="1"/>
    <col min="8707" max="8707" width="9.140625" style="50"/>
    <col min="8708" max="8708" width="30.85546875" style="50" customWidth="1"/>
    <col min="8709" max="8720" width="12.7109375" style="50" customWidth="1"/>
    <col min="8721" max="8960" width="9.140625" style="50"/>
    <col min="8961" max="8961" width="4" style="50" customWidth="1"/>
    <col min="8962" max="8962" width="3" style="50" customWidth="1"/>
    <col min="8963" max="8963" width="9.140625" style="50"/>
    <col min="8964" max="8964" width="30.85546875" style="50" customWidth="1"/>
    <col min="8965" max="8976" width="12.7109375" style="50" customWidth="1"/>
    <col min="8977" max="9216" width="9.140625" style="50"/>
    <col min="9217" max="9217" width="4" style="50" customWidth="1"/>
    <col min="9218" max="9218" width="3" style="50" customWidth="1"/>
    <col min="9219" max="9219" width="9.140625" style="50"/>
    <col min="9220" max="9220" width="30.85546875" style="50" customWidth="1"/>
    <col min="9221" max="9232" width="12.7109375" style="50" customWidth="1"/>
    <col min="9233" max="9472" width="9.140625" style="50"/>
    <col min="9473" max="9473" width="4" style="50" customWidth="1"/>
    <col min="9474" max="9474" width="3" style="50" customWidth="1"/>
    <col min="9475" max="9475" width="9.140625" style="50"/>
    <col min="9476" max="9476" width="30.85546875" style="50" customWidth="1"/>
    <col min="9477" max="9488" width="12.7109375" style="50" customWidth="1"/>
    <col min="9489" max="9728" width="9.140625" style="50"/>
    <col min="9729" max="9729" width="4" style="50" customWidth="1"/>
    <col min="9730" max="9730" width="3" style="50" customWidth="1"/>
    <col min="9731" max="9731" width="9.140625" style="50"/>
    <col min="9732" max="9732" width="30.85546875" style="50" customWidth="1"/>
    <col min="9733" max="9744" width="12.7109375" style="50" customWidth="1"/>
    <col min="9745" max="9984" width="9.140625" style="50"/>
    <col min="9985" max="9985" width="4" style="50" customWidth="1"/>
    <col min="9986" max="9986" width="3" style="50" customWidth="1"/>
    <col min="9987" max="9987" width="9.140625" style="50"/>
    <col min="9988" max="9988" width="30.85546875" style="50" customWidth="1"/>
    <col min="9989" max="10000" width="12.7109375" style="50" customWidth="1"/>
    <col min="10001" max="10240" width="9.140625" style="50"/>
    <col min="10241" max="10241" width="4" style="50" customWidth="1"/>
    <col min="10242" max="10242" width="3" style="50" customWidth="1"/>
    <col min="10243" max="10243" width="9.140625" style="50"/>
    <col min="10244" max="10244" width="30.85546875" style="50" customWidth="1"/>
    <col min="10245" max="10256" width="12.7109375" style="50" customWidth="1"/>
    <col min="10257" max="10496" width="9.140625" style="50"/>
    <col min="10497" max="10497" width="4" style="50" customWidth="1"/>
    <col min="10498" max="10498" width="3" style="50" customWidth="1"/>
    <col min="10499" max="10499" width="9.140625" style="50"/>
    <col min="10500" max="10500" width="30.85546875" style="50" customWidth="1"/>
    <col min="10501" max="10512" width="12.7109375" style="50" customWidth="1"/>
    <col min="10513" max="10752" width="9.140625" style="50"/>
    <col min="10753" max="10753" width="4" style="50" customWidth="1"/>
    <col min="10754" max="10754" width="3" style="50" customWidth="1"/>
    <col min="10755" max="10755" width="9.140625" style="50"/>
    <col min="10756" max="10756" width="30.85546875" style="50" customWidth="1"/>
    <col min="10757" max="10768" width="12.7109375" style="50" customWidth="1"/>
    <col min="10769" max="11008" width="9.140625" style="50"/>
    <col min="11009" max="11009" width="4" style="50" customWidth="1"/>
    <col min="11010" max="11010" width="3" style="50" customWidth="1"/>
    <col min="11011" max="11011" width="9.140625" style="50"/>
    <col min="11012" max="11012" width="30.85546875" style="50" customWidth="1"/>
    <col min="11013" max="11024" width="12.7109375" style="50" customWidth="1"/>
    <col min="11025" max="11264" width="9.140625" style="50"/>
    <col min="11265" max="11265" width="4" style="50" customWidth="1"/>
    <col min="11266" max="11266" width="3" style="50" customWidth="1"/>
    <col min="11267" max="11267" width="9.140625" style="50"/>
    <col min="11268" max="11268" width="30.85546875" style="50" customWidth="1"/>
    <col min="11269" max="11280" width="12.7109375" style="50" customWidth="1"/>
    <col min="11281" max="11520" width="9.140625" style="50"/>
    <col min="11521" max="11521" width="4" style="50" customWidth="1"/>
    <col min="11522" max="11522" width="3" style="50" customWidth="1"/>
    <col min="11523" max="11523" width="9.140625" style="50"/>
    <col min="11524" max="11524" width="30.85546875" style="50" customWidth="1"/>
    <col min="11525" max="11536" width="12.7109375" style="50" customWidth="1"/>
    <col min="11537" max="11776" width="9.140625" style="50"/>
    <col min="11777" max="11777" width="4" style="50" customWidth="1"/>
    <col min="11778" max="11778" width="3" style="50" customWidth="1"/>
    <col min="11779" max="11779" width="9.140625" style="50"/>
    <col min="11780" max="11780" width="30.85546875" style="50" customWidth="1"/>
    <col min="11781" max="11792" width="12.7109375" style="50" customWidth="1"/>
    <col min="11793" max="12032" width="9.140625" style="50"/>
    <col min="12033" max="12033" width="4" style="50" customWidth="1"/>
    <col min="12034" max="12034" width="3" style="50" customWidth="1"/>
    <col min="12035" max="12035" width="9.140625" style="50"/>
    <col min="12036" max="12036" width="30.85546875" style="50" customWidth="1"/>
    <col min="12037" max="12048" width="12.7109375" style="50" customWidth="1"/>
    <col min="12049" max="12288" width="9.140625" style="50"/>
    <col min="12289" max="12289" width="4" style="50" customWidth="1"/>
    <col min="12290" max="12290" width="3" style="50" customWidth="1"/>
    <col min="12291" max="12291" width="9.140625" style="50"/>
    <col min="12292" max="12292" width="30.85546875" style="50" customWidth="1"/>
    <col min="12293" max="12304" width="12.7109375" style="50" customWidth="1"/>
    <col min="12305" max="12544" width="9.140625" style="50"/>
    <col min="12545" max="12545" width="4" style="50" customWidth="1"/>
    <col min="12546" max="12546" width="3" style="50" customWidth="1"/>
    <col min="12547" max="12547" width="9.140625" style="50"/>
    <col min="12548" max="12548" width="30.85546875" style="50" customWidth="1"/>
    <col min="12549" max="12560" width="12.7109375" style="50" customWidth="1"/>
    <col min="12561" max="12800" width="9.140625" style="50"/>
    <col min="12801" max="12801" width="4" style="50" customWidth="1"/>
    <col min="12802" max="12802" width="3" style="50" customWidth="1"/>
    <col min="12803" max="12803" width="9.140625" style="50"/>
    <col min="12804" max="12804" width="30.85546875" style="50" customWidth="1"/>
    <col min="12805" max="12816" width="12.7109375" style="50" customWidth="1"/>
    <col min="12817" max="13056" width="9.140625" style="50"/>
    <col min="13057" max="13057" width="4" style="50" customWidth="1"/>
    <col min="13058" max="13058" width="3" style="50" customWidth="1"/>
    <col min="13059" max="13059" width="9.140625" style="50"/>
    <col min="13060" max="13060" width="30.85546875" style="50" customWidth="1"/>
    <col min="13061" max="13072" width="12.7109375" style="50" customWidth="1"/>
    <col min="13073" max="13312" width="9.140625" style="50"/>
    <col min="13313" max="13313" width="4" style="50" customWidth="1"/>
    <col min="13314" max="13314" width="3" style="50" customWidth="1"/>
    <col min="13315" max="13315" width="9.140625" style="50"/>
    <col min="13316" max="13316" width="30.85546875" style="50" customWidth="1"/>
    <col min="13317" max="13328" width="12.7109375" style="50" customWidth="1"/>
    <col min="13329" max="13568" width="9.140625" style="50"/>
    <col min="13569" max="13569" width="4" style="50" customWidth="1"/>
    <col min="13570" max="13570" width="3" style="50" customWidth="1"/>
    <col min="13571" max="13571" width="9.140625" style="50"/>
    <col min="13572" max="13572" width="30.85546875" style="50" customWidth="1"/>
    <col min="13573" max="13584" width="12.7109375" style="50" customWidth="1"/>
    <col min="13585" max="13824" width="9.140625" style="50"/>
    <col min="13825" max="13825" width="4" style="50" customWidth="1"/>
    <col min="13826" max="13826" width="3" style="50" customWidth="1"/>
    <col min="13827" max="13827" width="9.140625" style="50"/>
    <col min="13828" max="13828" width="30.85546875" style="50" customWidth="1"/>
    <col min="13829" max="13840" width="12.7109375" style="50" customWidth="1"/>
    <col min="13841" max="14080" width="9.140625" style="50"/>
    <col min="14081" max="14081" width="4" style="50" customWidth="1"/>
    <col min="14082" max="14082" width="3" style="50" customWidth="1"/>
    <col min="14083" max="14083" width="9.140625" style="50"/>
    <col min="14084" max="14084" width="30.85546875" style="50" customWidth="1"/>
    <col min="14085" max="14096" width="12.7109375" style="50" customWidth="1"/>
    <col min="14097" max="14336" width="9.140625" style="50"/>
    <col min="14337" max="14337" width="4" style="50" customWidth="1"/>
    <col min="14338" max="14338" width="3" style="50" customWidth="1"/>
    <col min="14339" max="14339" width="9.140625" style="50"/>
    <col min="14340" max="14340" width="30.85546875" style="50" customWidth="1"/>
    <col min="14341" max="14352" width="12.7109375" style="50" customWidth="1"/>
    <col min="14353" max="14592" width="9.140625" style="50"/>
    <col min="14593" max="14593" width="4" style="50" customWidth="1"/>
    <col min="14594" max="14594" width="3" style="50" customWidth="1"/>
    <col min="14595" max="14595" width="9.140625" style="50"/>
    <col min="14596" max="14596" width="30.85546875" style="50" customWidth="1"/>
    <col min="14597" max="14608" width="12.7109375" style="50" customWidth="1"/>
    <col min="14609" max="14848" width="9.140625" style="50"/>
    <col min="14849" max="14849" width="4" style="50" customWidth="1"/>
    <col min="14850" max="14850" width="3" style="50" customWidth="1"/>
    <col min="14851" max="14851" width="9.140625" style="50"/>
    <col min="14852" max="14852" width="30.85546875" style="50" customWidth="1"/>
    <col min="14853" max="14864" width="12.7109375" style="50" customWidth="1"/>
    <col min="14865" max="15104" width="9.140625" style="50"/>
    <col min="15105" max="15105" width="4" style="50" customWidth="1"/>
    <col min="15106" max="15106" width="3" style="50" customWidth="1"/>
    <col min="15107" max="15107" width="9.140625" style="50"/>
    <col min="15108" max="15108" width="30.85546875" style="50" customWidth="1"/>
    <col min="15109" max="15120" width="12.7109375" style="50" customWidth="1"/>
    <col min="15121" max="15360" width="9.140625" style="50"/>
    <col min="15361" max="15361" width="4" style="50" customWidth="1"/>
    <col min="15362" max="15362" width="3" style="50" customWidth="1"/>
    <col min="15363" max="15363" width="9.140625" style="50"/>
    <col min="15364" max="15364" width="30.85546875" style="50" customWidth="1"/>
    <col min="15365" max="15376" width="12.7109375" style="50" customWidth="1"/>
    <col min="15377" max="15616" width="9.140625" style="50"/>
    <col min="15617" max="15617" width="4" style="50" customWidth="1"/>
    <col min="15618" max="15618" width="3" style="50" customWidth="1"/>
    <col min="15619" max="15619" width="9.140625" style="50"/>
    <col min="15620" max="15620" width="30.85546875" style="50" customWidth="1"/>
    <col min="15621" max="15632" width="12.7109375" style="50" customWidth="1"/>
    <col min="15633" max="15872" width="9.140625" style="50"/>
    <col min="15873" max="15873" width="4" style="50" customWidth="1"/>
    <col min="15874" max="15874" width="3" style="50" customWidth="1"/>
    <col min="15875" max="15875" width="9.140625" style="50"/>
    <col min="15876" max="15876" width="30.85546875" style="50" customWidth="1"/>
    <col min="15877" max="15888" width="12.7109375" style="50" customWidth="1"/>
    <col min="15889" max="16128" width="9.140625" style="50"/>
    <col min="16129" max="16129" width="4" style="50" customWidth="1"/>
    <col min="16130" max="16130" width="3" style="50" customWidth="1"/>
    <col min="16131" max="16131" width="9.140625" style="50"/>
    <col min="16132" max="16132" width="30.85546875" style="50" customWidth="1"/>
    <col min="16133" max="16144" width="12.7109375" style="50" customWidth="1"/>
    <col min="16145" max="16384" width="9.140625" style="50"/>
  </cols>
  <sheetData>
    <row r="1" spans="1:9" s="3" customFormat="1" ht="15" customHeight="1">
      <c r="A1" s="784"/>
      <c r="B1" s="784"/>
      <c r="C1" s="784"/>
      <c r="D1" s="784"/>
      <c r="E1" s="784"/>
      <c r="F1" s="784"/>
      <c r="G1" s="784"/>
      <c r="H1" s="784"/>
      <c r="I1" s="784"/>
    </row>
    <row r="2" spans="1:9" s="3" customFormat="1" ht="15" customHeight="1">
      <c r="A2" s="774" t="s">
        <v>49</v>
      </c>
      <c r="B2" s="784"/>
      <c r="C2" s="784"/>
      <c r="D2" s="784"/>
      <c r="E2" s="784"/>
      <c r="F2" s="174"/>
      <c r="G2" s="784"/>
      <c r="H2" s="784"/>
      <c r="I2" s="784"/>
    </row>
    <row r="3" spans="1:9" s="3" customFormat="1" ht="15" customHeight="1">
      <c r="A3" s="911"/>
      <c r="B3" s="865"/>
      <c r="C3" s="863"/>
      <c r="D3" s="784"/>
      <c r="E3" s="784"/>
      <c r="F3" s="784"/>
      <c r="G3" s="784"/>
      <c r="H3" s="784"/>
      <c r="I3" s="784"/>
    </row>
    <row r="4" spans="1:9" s="46" customFormat="1" ht="17.25" customHeight="1">
      <c r="A4" s="1028" t="s">
        <v>1187</v>
      </c>
      <c r="B4" s="835"/>
      <c r="C4" s="835"/>
      <c r="D4" s="835"/>
      <c r="E4" s="835"/>
      <c r="F4" s="835"/>
      <c r="G4" s="835"/>
    </row>
    <row r="5" spans="1:9" s="46" customFormat="1" ht="17.25" customHeight="1">
      <c r="B5" s="47"/>
      <c r="C5" s="47"/>
      <c r="D5" s="48"/>
      <c r="E5" s="51" t="s">
        <v>1188</v>
      </c>
      <c r="F5" s="49"/>
      <c r="G5" s="51" t="s">
        <v>1188</v>
      </c>
      <c r="H5" s="49"/>
      <c r="I5" s="51" t="s">
        <v>1188</v>
      </c>
    </row>
    <row r="6" spans="1:9" ht="48">
      <c r="A6" s="758"/>
      <c r="B6" s="1032" t="s">
        <v>302</v>
      </c>
      <c r="C6" s="1032"/>
      <c r="D6" s="1032"/>
      <c r="E6" s="51" t="s">
        <v>1189</v>
      </c>
      <c r="F6" s="51" t="s">
        <v>1190</v>
      </c>
      <c r="G6" s="52" t="s">
        <v>1191</v>
      </c>
      <c r="H6" s="51" t="s">
        <v>1192</v>
      </c>
      <c r="I6" s="52" t="s">
        <v>1193</v>
      </c>
    </row>
    <row r="7" spans="1:9">
      <c r="A7" s="758"/>
      <c r="B7" s="1033"/>
      <c r="C7" s="1034"/>
      <c r="D7" s="1034"/>
      <c r="E7" s="53"/>
      <c r="F7" s="54"/>
      <c r="G7" s="53"/>
      <c r="H7" s="54"/>
      <c r="I7" s="53"/>
    </row>
    <row r="8" spans="1:9">
      <c r="A8" s="1035" t="s">
        <v>97</v>
      </c>
      <c r="B8" s="1036"/>
      <c r="C8" s="1036"/>
      <c r="D8" s="1036"/>
      <c r="E8" s="796"/>
      <c r="F8" s="55"/>
      <c r="G8" s="796"/>
      <c r="H8" s="55"/>
      <c r="I8" s="796"/>
    </row>
    <row r="9" spans="1:9">
      <c r="A9" s="758"/>
      <c r="B9" s="1029" t="s">
        <v>310</v>
      </c>
      <c r="C9" s="1030"/>
      <c r="D9" s="1031"/>
      <c r="E9" s="8">
        <f>'P-Budget'!F15</f>
        <v>0</v>
      </c>
      <c r="F9" s="9">
        <v>0.4</v>
      </c>
      <c r="G9" s="8">
        <f>F9*E9</f>
        <v>0</v>
      </c>
      <c r="H9" s="9">
        <v>0.8</v>
      </c>
      <c r="I9" s="8">
        <f>H9*E9</f>
        <v>0</v>
      </c>
    </row>
    <row r="10" spans="1:9">
      <c r="A10" s="758"/>
      <c r="B10" s="1029" t="s">
        <v>311</v>
      </c>
      <c r="C10" s="1030"/>
      <c r="D10" s="1031"/>
      <c r="E10" s="8">
        <f>'P-Budget'!F16</f>
        <v>0</v>
      </c>
      <c r="F10" s="9">
        <v>0.4</v>
      </c>
      <c r="G10" s="8">
        <f t="shared" ref="G10:G22" si="0">F10*E10</f>
        <v>0</v>
      </c>
      <c r="H10" s="9">
        <f>H9</f>
        <v>0.8</v>
      </c>
      <c r="I10" s="8">
        <f t="shared" ref="I10:I22" si="1">H10*E10</f>
        <v>0</v>
      </c>
    </row>
    <row r="11" spans="1:9">
      <c r="A11" s="758"/>
      <c r="B11" s="1029" t="s">
        <v>312</v>
      </c>
      <c r="C11" s="1030"/>
      <c r="D11" s="1031"/>
      <c r="E11" s="8">
        <f>'P-Budget'!F17</f>
        <v>0</v>
      </c>
      <c r="F11" s="9">
        <v>0.4</v>
      </c>
      <c r="G11" s="8">
        <f t="shared" si="0"/>
        <v>0</v>
      </c>
      <c r="H11" s="9">
        <f>H9</f>
        <v>0.8</v>
      </c>
      <c r="I11" s="8">
        <f t="shared" si="1"/>
        <v>0</v>
      </c>
    </row>
    <row r="12" spans="1:9">
      <c r="A12" s="758"/>
      <c r="B12" s="1029" t="s">
        <v>313</v>
      </c>
      <c r="C12" s="1030"/>
      <c r="D12" s="1031"/>
      <c r="E12" s="8">
        <f>'P-Budget'!F18</f>
        <v>0</v>
      </c>
      <c r="F12" s="9">
        <v>1</v>
      </c>
      <c r="G12" s="8">
        <f t="shared" si="0"/>
        <v>0</v>
      </c>
      <c r="H12" s="9">
        <v>1</v>
      </c>
      <c r="I12" s="8">
        <f t="shared" si="1"/>
        <v>0</v>
      </c>
    </row>
    <row r="13" spans="1:9">
      <c r="A13" s="758"/>
      <c r="B13" s="1029" t="s">
        <v>314</v>
      </c>
      <c r="C13" s="1030"/>
      <c r="D13" s="1031"/>
      <c r="E13" s="8">
        <f>'P-Budget'!F19</f>
        <v>0</v>
      </c>
      <c r="F13" s="9">
        <v>0.4</v>
      </c>
      <c r="G13" s="8">
        <f t="shared" si="0"/>
        <v>0</v>
      </c>
      <c r="H13" s="9">
        <v>1</v>
      </c>
      <c r="I13" s="8">
        <f t="shared" si="1"/>
        <v>0</v>
      </c>
    </row>
    <row r="14" spans="1:9">
      <c r="A14" s="758"/>
      <c r="B14" s="1029" t="s">
        <v>315</v>
      </c>
      <c r="C14" s="1030"/>
      <c r="D14" s="1031"/>
      <c r="E14" s="8">
        <f>'P-Budget'!F20</f>
        <v>0</v>
      </c>
      <c r="F14" s="9">
        <v>1</v>
      </c>
      <c r="G14" s="8">
        <f t="shared" si="0"/>
        <v>0</v>
      </c>
      <c r="H14" s="9">
        <v>1</v>
      </c>
      <c r="I14" s="8">
        <f t="shared" si="1"/>
        <v>0</v>
      </c>
    </row>
    <row r="15" spans="1:9">
      <c r="A15" s="758"/>
      <c r="B15" s="1029" t="s">
        <v>316</v>
      </c>
      <c r="C15" s="1030"/>
      <c r="D15" s="1031"/>
      <c r="E15" s="8">
        <f>'P-Budget'!F21</f>
        <v>0</v>
      </c>
      <c r="F15" s="9">
        <v>1</v>
      </c>
      <c r="G15" s="8">
        <f t="shared" si="0"/>
        <v>0</v>
      </c>
      <c r="H15" s="9">
        <v>1</v>
      </c>
      <c r="I15" s="8">
        <f t="shared" si="1"/>
        <v>0</v>
      </c>
    </row>
    <row r="16" spans="1:9">
      <c r="A16" s="758"/>
      <c r="B16" s="1029" t="s">
        <v>317</v>
      </c>
      <c r="C16" s="1030"/>
      <c r="D16" s="1031"/>
      <c r="E16" s="8">
        <f>'P-Budget'!F22</f>
        <v>0</v>
      </c>
      <c r="F16" s="9">
        <v>1</v>
      </c>
      <c r="G16" s="8">
        <f t="shared" si="0"/>
        <v>0</v>
      </c>
      <c r="H16" s="9">
        <v>1</v>
      </c>
      <c r="I16" s="8">
        <f t="shared" si="1"/>
        <v>0</v>
      </c>
    </row>
    <row r="17" spans="1:9">
      <c r="A17" s="758"/>
      <c r="B17" s="1029" t="s">
        <v>318</v>
      </c>
      <c r="C17" s="1030"/>
      <c r="D17" s="1031"/>
      <c r="E17" s="8">
        <f>'P-Budget'!F23</f>
        <v>0</v>
      </c>
      <c r="F17" s="9">
        <v>1</v>
      </c>
      <c r="G17" s="8">
        <f t="shared" si="0"/>
        <v>0</v>
      </c>
      <c r="H17" s="9">
        <v>1</v>
      </c>
      <c r="I17" s="8">
        <f t="shared" si="1"/>
        <v>0</v>
      </c>
    </row>
    <row r="18" spans="1:9">
      <c r="A18" s="758"/>
      <c r="B18" s="1029" t="s">
        <v>319</v>
      </c>
      <c r="C18" s="1030"/>
      <c r="D18" s="1031"/>
      <c r="E18" s="8">
        <f>'P-Budget'!F24</f>
        <v>0</v>
      </c>
      <c r="F18" s="9">
        <v>1</v>
      </c>
      <c r="G18" s="8">
        <f t="shared" si="0"/>
        <v>0</v>
      </c>
      <c r="H18" s="9">
        <v>1</v>
      </c>
      <c r="I18" s="8">
        <f t="shared" si="1"/>
        <v>0</v>
      </c>
    </row>
    <row r="19" spans="1:9">
      <c r="A19" s="758"/>
      <c r="B19" s="1029" t="s">
        <v>320</v>
      </c>
      <c r="C19" s="1030"/>
      <c r="D19" s="1031"/>
      <c r="E19" s="8">
        <f>'P-Budget'!F25</f>
        <v>0</v>
      </c>
      <c r="F19" s="9">
        <v>1</v>
      </c>
      <c r="G19" s="8">
        <f t="shared" si="0"/>
        <v>0</v>
      </c>
      <c r="H19" s="9">
        <v>1</v>
      </c>
      <c r="I19" s="8">
        <f t="shared" si="1"/>
        <v>0</v>
      </c>
    </row>
    <row r="20" spans="1:9">
      <c r="A20" s="758"/>
      <c r="B20" s="1038" t="s">
        <v>321</v>
      </c>
      <c r="C20" s="1030"/>
      <c r="D20" s="1031"/>
      <c r="E20" s="8"/>
      <c r="F20" s="9"/>
      <c r="G20" s="8">
        <f t="shared" si="0"/>
        <v>0</v>
      </c>
      <c r="H20" s="9"/>
      <c r="I20" s="8">
        <f t="shared" si="1"/>
        <v>0</v>
      </c>
    </row>
    <row r="21" spans="1:9">
      <c r="A21" s="758"/>
      <c r="B21" s="794"/>
      <c r="C21" s="1029" t="str">
        <f>IF('P-Budget'!C27="","",'P-Budget'!C27)</f>
        <v xml:space="preserve">Environmental Impact Report (EIR) </v>
      </c>
      <c r="D21" s="1039"/>
      <c r="E21" s="8">
        <f>'P-Budget'!F27</f>
        <v>0</v>
      </c>
      <c r="F21" s="9">
        <v>1</v>
      </c>
      <c r="G21" s="8">
        <f t="shared" si="0"/>
        <v>0</v>
      </c>
      <c r="H21" s="9">
        <f>H12</f>
        <v>1</v>
      </c>
      <c r="I21" s="8">
        <f t="shared" si="1"/>
        <v>0</v>
      </c>
    </row>
    <row r="22" spans="1:9" ht="13.5" thickBot="1">
      <c r="A22" s="758"/>
      <c r="B22" s="795"/>
      <c r="C22" s="1040" t="str">
        <f>IF('P-Budget'!C28="","",'P-Budget'!C28)</f>
        <v/>
      </c>
      <c r="D22" s="1041"/>
      <c r="E22" s="57">
        <f>'P-Budget'!F28</f>
        <v>0</v>
      </c>
      <c r="F22" s="9">
        <v>0.4</v>
      </c>
      <c r="G22" s="8">
        <f t="shared" si="0"/>
        <v>0</v>
      </c>
      <c r="H22" s="9">
        <f>H9</f>
        <v>0.8</v>
      </c>
      <c r="I22" s="8">
        <f t="shared" si="1"/>
        <v>0</v>
      </c>
    </row>
    <row r="23" spans="1:9" ht="15" customHeight="1" thickBot="1">
      <c r="A23" s="758"/>
      <c r="B23" s="1042" t="s">
        <v>323</v>
      </c>
      <c r="C23" s="1043"/>
      <c r="D23" s="1044"/>
      <c r="E23" s="10"/>
      <c r="F23" s="11"/>
      <c r="G23" s="10">
        <f>SUM(G9:G22)</f>
        <v>0</v>
      </c>
      <c r="H23" s="11"/>
      <c r="I23" s="10">
        <f>SUM(I9:I22)</f>
        <v>0</v>
      </c>
    </row>
    <row r="24" spans="1:9">
      <c r="A24" s="758"/>
      <c r="B24" s="1033"/>
      <c r="C24" s="1034"/>
      <c r="D24" s="1034"/>
      <c r="E24" s="53"/>
      <c r="F24" s="54"/>
      <c r="G24" s="53"/>
      <c r="H24" s="54"/>
      <c r="I24" s="53"/>
    </row>
    <row r="25" spans="1:9">
      <c r="A25" s="1035" t="s">
        <v>327</v>
      </c>
      <c r="B25" s="1036"/>
      <c r="C25" s="1036"/>
      <c r="D25" s="1036"/>
      <c r="E25" s="796"/>
      <c r="F25" s="55"/>
      <c r="G25" s="796"/>
      <c r="H25" s="55"/>
      <c r="I25" s="796"/>
    </row>
    <row r="26" spans="1:9">
      <c r="A26" s="758"/>
      <c r="B26" s="1045" t="s">
        <v>328</v>
      </c>
      <c r="C26" s="1045"/>
      <c r="D26" s="1045"/>
      <c r="E26" s="8">
        <f>'P-Budget'!F37</f>
        <v>0</v>
      </c>
      <c r="F26" s="9">
        <v>0.4</v>
      </c>
      <c r="G26" s="8">
        <f t="shared" ref="G26:G43" si="2">F26*E26</f>
        <v>0</v>
      </c>
      <c r="H26" s="9">
        <v>0.55000000000000004</v>
      </c>
      <c r="I26" s="8">
        <f t="shared" ref="I26:I43" si="3">H26*E26</f>
        <v>0</v>
      </c>
    </row>
    <row r="27" spans="1:9">
      <c r="A27" s="758"/>
      <c r="B27" s="1029" t="s">
        <v>329</v>
      </c>
      <c r="C27" s="1037"/>
      <c r="D27" s="1037"/>
      <c r="E27" s="8">
        <f>'P-Budget'!F38</f>
        <v>0</v>
      </c>
      <c r="F27" s="9">
        <v>0</v>
      </c>
      <c r="G27" s="8">
        <f t="shared" si="2"/>
        <v>0</v>
      </c>
      <c r="H27" s="9">
        <v>0</v>
      </c>
      <c r="I27" s="8">
        <f t="shared" si="3"/>
        <v>0</v>
      </c>
    </row>
    <row r="28" spans="1:9">
      <c r="A28" s="758"/>
      <c r="B28" s="793"/>
      <c r="C28" s="1045" t="str">
        <f>IF('P-Budget'!C39="","",'P-Budget'!C39)</f>
        <v>DGS Division of Real Estate services</v>
      </c>
      <c r="D28" s="1045"/>
      <c r="E28" s="8">
        <f>'P-Budget'!F39</f>
        <v>0</v>
      </c>
      <c r="F28" s="9">
        <v>0</v>
      </c>
      <c r="G28" s="8">
        <f t="shared" si="2"/>
        <v>0</v>
      </c>
      <c r="H28" s="9">
        <v>0</v>
      </c>
      <c r="I28" s="8">
        <f t="shared" si="3"/>
        <v>0</v>
      </c>
    </row>
    <row r="29" spans="1:9">
      <c r="A29" s="758"/>
      <c r="B29" s="793"/>
      <c r="C29" s="1045" t="str">
        <f>IF('P-Budget'!C40="","",'P-Budget'!C40)</f>
        <v/>
      </c>
      <c r="D29" s="1045"/>
      <c r="E29" s="8">
        <f>'P-Budget'!F40</f>
        <v>0</v>
      </c>
      <c r="F29" s="9">
        <v>0</v>
      </c>
      <c r="G29" s="8">
        <f t="shared" si="2"/>
        <v>0</v>
      </c>
      <c r="H29" s="9">
        <v>0</v>
      </c>
      <c r="I29" s="8">
        <f t="shared" si="3"/>
        <v>0</v>
      </c>
    </row>
    <row r="30" spans="1:9">
      <c r="A30" s="758"/>
      <c r="B30" s="1045" t="s">
        <v>1194</v>
      </c>
      <c r="C30" s="1045"/>
      <c r="D30" s="1045"/>
      <c r="E30" s="8">
        <f>'P-Budget'!F41</f>
        <v>0</v>
      </c>
      <c r="F30" s="9">
        <v>0.4</v>
      </c>
      <c r="G30" s="8">
        <f t="shared" si="2"/>
        <v>0</v>
      </c>
      <c r="H30" s="9">
        <f>H9</f>
        <v>0.8</v>
      </c>
      <c r="I30" s="8">
        <f t="shared" si="3"/>
        <v>0</v>
      </c>
    </row>
    <row r="31" spans="1:9">
      <c r="A31" s="758"/>
      <c r="B31" s="1029" t="s">
        <v>332</v>
      </c>
      <c r="C31" s="1037"/>
      <c r="D31" s="1039"/>
      <c r="E31" s="8">
        <f>'P-Budget'!F42</f>
        <v>0</v>
      </c>
      <c r="F31" s="9">
        <v>0.4</v>
      </c>
      <c r="G31" s="8">
        <f t="shared" si="2"/>
        <v>0</v>
      </c>
      <c r="H31" s="9">
        <f>H12</f>
        <v>1</v>
      </c>
      <c r="I31" s="8">
        <f t="shared" si="3"/>
        <v>0</v>
      </c>
    </row>
    <row r="32" spans="1:9">
      <c r="A32" s="758"/>
      <c r="B32" s="1045" t="s">
        <v>333</v>
      </c>
      <c r="C32" s="1045" t="s">
        <v>334</v>
      </c>
      <c r="D32" s="1045"/>
      <c r="E32" s="8">
        <f>'P-Budget'!F43</f>
        <v>0</v>
      </c>
      <c r="F32" s="9">
        <v>0.4</v>
      </c>
      <c r="G32" s="8">
        <f t="shared" si="2"/>
        <v>0</v>
      </c>
      <c r="H32" s="9">
        <f>H9</f>
        <v>0.8</v>
      </c>
      <c r="I32" s="8">
        <f t="shared" si="3"/>
        <v>0</v>
      </c>
    </row>
    <row r="33" spans="1:9">
      <c r="A33" s="758"/>
      <c r="B33" s="1045" t="s">
        <v>335</v>
      </c>
      <c r="C33" s="1045" t="s">
        <v>336</v>
      </c>
      <c r="D33" s="1045"/>
      <c r="E33" s="8">
        <f>'P-Budget'!F44</f>
        <v>0</v>
      </c>
      <c r="F33" s="9">
        <v>0</v>
      </c>
      <c r="G33" s="8">
        <f t="shared" si="2"/>
        <v>0</v>
      </c>
      <c r="H33" s="9">
        <v>0</v>
      </c>
      <c r="I33" s="8">
        <f t="shared" si="3"/>
        <v>0</v>
      </c>
    </row>
    <row r="34" spans="1:9">
      <c r="A34" s="758"/>
      <c r="B34" s="1045" t="s">
        <v>337</v>
      </c>
      <c r="C34" s="1045"/>
      <c r="D34" s="1045"/>
      <c r="E34" s="8">
        <f>'P-Budget'!F45</f>
        <v>0</v>
      </c>
      <c r="F34" s="9">
        <v>0</v>
      </c>
      <c r="G34" s="8">
        <f t="shared" si="2"/>
        <v>0</v>
      </c>
      <c r="H34" s="9">
        <v>0</v>
      </c>
      <c r="I34" s="8">
        <f t="shared" si="3"/>
        <v>0</v>
      </c>
    </row>
    <row r="35" spans="1:9">
      <c r="A35" s="758"/>
      <c r="B35" s="1045" t="s">
        <v>338</v>
      </c>
      <c r="C35" s="1045"/>
      <c r="D35" s="1045"/>
      <c r="E35" s="8">
        <f>'P-Budget'!F46</f>
        <v>0</v>
      </c>
      <c r="F35" s="9">
        <v>0</v>
      </c>
      <c r="G35" s="8">
        <f t="shared" si="2"/>
        <v>0</v>
      </c>
      <c r="H35" s="9">
        <v>0</v>
      </c>
      <c r="I35" s="8">
        <f t="shared" si="3"/>
        <v>0</v>
      </c>
    </row>
    <row r="36" spans="1:9">
      <c r="A36" s="758"/>
      <c r="B36" s="1045" t="s">
        <v>339</v>
      </c>
      <c r="C36" s="1045" t="s">
        <v>340</v>
      </c>
      <c r="D36" s="1045"/>
      <c r="E36" s="8">
        <f>'P-Budget'!F47</f>
        <v>0</v>
      </c>
      <c r="F36" s="9">
        <v>0</v>
      </c>
      <c r="G36" s="8">
        <f t="shared" si="2"/>
        <v>0</v>
      </c>
      <c r="H36" s="9">
        <v>0</v>
      </c>
      <c r="I36" s="8">
        <f t="shared" si="3"/>
        <v>0</v>
      </c>
    </row>
    <row r="37" spans="1:9">
      <c r="A37" s="758"/>
      <c r="B37" s="1045" t="s">
        <v>341</v>
      </c>
      <c r="C37" s="1045" t="s">
        <v>342</v>
      </c>
      <c r="D37" s="1045"/>
      <c r="E37" s="8">
        <f>'P-Budget'!F48</f>
        <v>0</v>
      </c>
      <c r="F37" s="9">
        <v>0</v>
      </c>
      <c r="G37" s="8">
        <f t="shared" si="2"/>
        <v>0</v>
      </c>
      <c r="H37" s="9">
        <v>0</v>
      </c>
      <c r="I37" s="8">
        <f t="shared" si="3"/>
        <v>0</v>
      </c>
    </row>
    <row r="38" spans="1:9">
      <c r="A38" s="758"/>
      <c r="B38" s="1045" t="s">
        <v>343</v>
      </c>
      <c r="C38" s="1045"/>
      <c r="D38" s="1045"/>
      <c r="E38" s="8">
        <f>'P-Budget'!F49</f>
        <v>0</v>
      </c>
      <c r="F38" s="9">
        <v>0</v>
      </c>
      <c r="G38" s="8">
        <f t="shared" si="2"/>
        <v>0</v>
      </c>
      <c r="H38" s="9">
        <v>0</v>
      </c>
      <c r="I38" s="8">
        <f t="shared" si="3"/>
        <v>0</v>
      </c>
    </row>
    <row r="39" spans="1:9">
      <c r="A39" s="758"/>
      <c r="B39" s="1045" t="s">
        <v>344</v>
      </c>
      <c r="C39" s="1045"/>
      <c r="D39" s="1045"/>
      <c r="E39" s="8">
        <f>'P-Budget'!F50</f>
        <v>0</v>
      </c>
      <c r="F39" s="9">
        <v>0</v>
      </c>
      <c r="G39" s="8">
        <f t="shared" si="2"/>
        <v>0</v>
      </c>
      <c r="H39" s="9">
        <v>0</v>
      </c>
      <c r="I39" s="8">
        <f t="shared" si="3"/>
        <v>0</v>
      </c>
    </row>
    <row r="40" spans="1:9">
      <c r="A40" s="758"/>
      <c r="B40" s="1045" t="s">
        <v>345</v>
      </c>
      <c r="C40" s="1045"/>
      <c r="D40" s="1045"/>
      <c r="E40" s="8">
        <f>'P-Budget'!F51</f>
        <v>0</v>
      </c>
      <c r="F40" s="9">
        <v>0.4</v>
      </c>
      <c r="G40" s="8">
        <f t="shared" si="2"/>
        <v>0</v>
      </c>
      <c r="H40" s="9">
        <v>0.5</v>
      </c>
      <c r="I40" s="8">
        <f t="shared" si="3"/>
        <v>0</v>
      </c>
    </row>
    <row r="41" spans="1:9">
      <c r="A41" s="758"/>
      <c r="B41" s="1045" t="s">
        <v>346</v>
      </c>
      <c r="C41" s="1045"/>
      <c r="D41" s="1045"/>
      <c r="E41" s="8">
        <f>'P-Budget'!F52</f>
        <v>0</v>
      </c>
      <c r="F41" s="9"/>
      <c r="G41" s="8">
        <f t="shared" si="2"/>
        <v>0</v>
      </c>
      <c r="H41" s="9"/>
      <c r="I41" s="8">
        <f t="shared" si="3"/>
        <v>0</v>
      </c>
    </row>
    <row r="42" spans="1:9">
      <c r="A42" s="758"/>
      <c r="B42" s="793"/>
      <c r="C42" s="1045" t="str">
        <f>IF('P-Budget'!C53="","",'P-Budget'!C53)</f>
        <v>Miscellaneous site acquisition soft costs</v>
      </c>
      <c r="D42" s="1045"/>
      <c r="E42" s="8">
        <f>'P-Budget'!F53</f>
        <v>0</v>
      </c>
      <c r="F42" s="9">
        <v>0</v>
      </c>
      <c r="G42" s="8">
        <f t="shared" si="2"/>
        <v>0</v>
      </c>
      <c r="H42" s="9">
        <v>0</v>
      </c>
      <c r="I42" s="8">
        <f t="shared" si="3"/>
        <v>0</v>
      </c>
    </row>
    <row r="43" spans="1:9" ht="13.5" thickBot="1">
      <c r="A43" s="758"/>
      <c r="B43" s="793"/>
      <c r="C43" s="1045" t="str">
        <f>IF('P-Budget'!C54="","",'P-Budget'!C54)</f>
        <v/>
      </c>
      <c r="D43" s="1045"/>
      <c r="E43" s="57">
        <f>'P-Budget'!F54</f>
        <v>0</v>
      </c>
      <c r="F43" s="9">
        <v>0</v>
      </c>
      <c r="G43" s="8">
        <f t="shared" si="2"/>
        <v>0</v>
      </c>
      <c r="H43" s="9">
        <v>0</v>
      </c>
      <c r="I43" s="8">
        <f t="shared" si="3"/>
        <v>0</v>
      </c>
    </row>
    <row r="44" spans="1:9" ht="15" customHeight="1" thickBot="1">
      <c r="A44" s="758"/>
      <c r="B44" s="1042" t="s">
        <v>348</v>
      </c>
      <c r="C44" s="1043"/>
      <c r="D44" s="1044"/>
      <c r="E44" s="10"/>
      <c r="F44" s="11"/>
      <c r="G44" s="10">
        <f>SUM(G26:G43)</f>
        <v>0</v>
      </c>
      <c r="H44" s="11"/>
      <c r="I44" s="10">
        <f>SUM(I26:I43)</f>
        <v>0</v>
      </c>
    </row>
    <row r="45" spans="1:9">
      <c r="A45" s="758"/>
      <c r="B45" s="1035"/>
      <c r="C45" s="1048"/>
      <c r="D45" s="1048"/>
      <c r="E45" s="53"/>
      <c r="F45" s="54"/>
      <c r="G45" s="53"/>
      <c r="H45" s="54"/>
      <c r="I45" s="53"/>
    </row>
    <row r="47" spans="1:9" ht="13.5" thickBot="1">
      <c r="A47" s="1035" t="s">
        <v>354</v>
      </c>
      <c r="B47" s="1036"/>
      <c r="C47" s="1036"/>
      <c r="D47" s="1036"/>
      <c r="E47" s="758"/>
      <c r="G47" s="758"/>
      <c r="I47" s="758"/>
    </row>
    <row r="48" spans="1:9" ht="13.5" thickBot="1">
      <c r="A48" s="758"/>
      <c r="B48" s="1042" t="s">
        <v>358</v>
      </c>
      <c r="C48" s="1043"/>
      <c r="D48" s="1043"/>
      <c r="E48" s="1046"/>
      <c r="F48" s="1047"/>
      <c r="G48" s="10">
        <f>G44+G23</f>
        <v>0</v>
      </c>
      <c r="H48" s="173"/>
      <c r="I48" s="10">
        <f>I44+I23</f>
        <v>0</v>
      </c>
    </row>
  </sheetData>
  <sheetProtection algorithmName="SHA-512" hashValue="xDkN0IWsPkVNEPHmxl2AbHOrnVzHpxJTkQJ36P4K99+PNxonm8bY/jyMYSrysASM376S+yKdOW0q1EdI8HIoLA==" saltValue="xx0EfUUrxGxD9bCpL6pFyw==" spinCount="100000" sheet="1" selectLockedCells="1" autoFilter="0"/>
  <mergeCells count="44">
    <mergeCell ref="A47:D47"/>
    <mergeCell ref="B48:F48"/>
    <mergeCell ref="B40:D40"/>
    <mergeCell ref="B41:D41"/>
    <mergeCell ref="C42:D42"/>
    <mergeCell ref="C43:D43"/>
    <mergeCell ref="B44:D44"/>
    <mergeCell ref="B45:D45"/>
    <mergeCell ref="B39:D39"/>
    <mergeCell ref="C28:D28"/>
    <mergeCell ref="C29:D29"/>
    <mergeCell ref="B30:D30"/>
    <mergeCell ref="B31:D31"/>
    <mergeCell ref="B32:D32"/>
    <mergeCell ref="B33:D33"/>
    <mergeCell ref="B34:D34"/>
    <mergeCell ref="B35:D35"/>
    <mergeCell ref="B36:D36"/>
    <mergeCell ref="B37:D37"/>
    <mergeCell ref="B38:D38"/>
    <mergeCell ref="B27:D27"/>
    <mergeCell ref="B16:D16"/>
    <mergeCell ref="B17:D17"/>
    <mergeCell ref="B18:D18"/>
    <mergeCell ref="B19:D19"/>
    <mergeCell ref="B20:D20"/>
    <mergeCell ref="C21:D21"/>
    <mergeCell ref="C22:D22"/>
    <mergeCell ref="B23:D23"/>
    <mergeCell ref="B24:D24"/>
    <mergeCell ref="A25:D25"/>
    <mergeCell ref="B26:D26"/>
    <mergeCell ref="A3:C3"/>
    <mergeCell ref="A4:G4"/>
    <mergeCell ref="B15:D15"/>
    <mergeCell ref="B6:D6"/>
    <mergeCell ref="B7:D7"/>
    <mergeCell ref="A8:D8"/>
    <mergeCell ref="B9:D9"/>
    <mergeCell ref="B10:D10"/>
    <mergeCell ref="B11:D11"/>
    <mergeCell ref="B12:D12"/>
    <mergeCell ref="B13:D13"/>
    <mergeCell ref="B14:D14"/>
  </mergeCells>
  <printOptions horizontalCentered="1"/>
  <pageMargins left="0.25" right="0.25" top="0.25" bottom="0.25" header="0" footer="0"/>
  <pageSetup scale="89" orientation="landscape" draft="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2D6A4-8FFD-432A-A8B9-3EF828B64FA0}">
  <sheetPr codeName="Sheet29"/>
  <dimension ref="A1:I275"/>
  <sheetViews>
    <sheetView showGridLines="0" workbookViewId="0"/>
  </sheetViews>
  <sheetFormatPr defaultRowHeight="12.75"/>
  <cols>
    <col min="2" max="2" width="11.140625" customWidth="1"/>
    <col min="3" max="3" width="13.28515625" customWidth="1"/>
    <col min="4" max="4" width="14.140625" customWidth="1"/>
    <col min="5" max="5" width="11.85546875" customWidth="1"/>
    <col min="6" max="6" width="12.85546875" customWidth="1"/>
    <col min="7" max="7" width="19.85546875" customWidth="1"/>
    <col min="8" max="8" width="12.42578125" customWidth="1"/>
    <col min="9" max="9" width="17.7109375" customWidth="1"/>
  </cols>
  <sheetData>
    <row r="1" spans="1:9">
      <c r="A1" s="1" t="s">
        <v>1195</v>
      </c>
      <c r="B1" s="1" t="s">
        <v>1196</v>
      </c>
      <c r="C1" s="1" t="s">
        <v>1197</v>
      </c>
      <c r="D1" s="1" t="s">
        <v>1198</v>
      </c>
      <c r="E1" s="1" t="s">
        <v>1199</v>
      </c>
      <c r="F1" s="1" t="s">
        <v>1200</v>
      </c>
      <c r="G1" s="1" t="s">
        <v>1201</v>
      </c>
      <c r="H1" s="1" t="s">
        <v>1202</v>
      </c>
      <c r="I1" s="1" t="s">
        <v>1203</v>
      </c>
    </row>
    <row r="2" spans="1:9">
      <c r="A2" s="500" t="s">
        <v>1204</v>
      </c>
      <c r="B2" s="500" t="s">
        <v>1205</v>
      </c>
      <c r="C2" s="759" t="s">
        <v>1206</v>
      </c>
      <c r="D2" s="759" t="s">
        <v>1207</v>
      </c>
      <c r="E2" s="500" t="s">
        <v>726</v>
      </c>
      <c r="F2" s="500" t="s">
        <v>726</v>
      </c>
      <c r="G2" s="501">
        <v>46113.593819444446</v>
      </c>
      <c r="H2" s="759" t="s">
        <v>284</v>
      </c>
      <c r="I2" s="759"/>
    </row>
    <row r="3" spans="1:9">
      <c r="A3" s="759" t="s">
        <v>1208</v>
      </c>
      <c r="B3" s="500" t="s">
        <v>1205</v>
      </c>
      <c r="C3" s="759" t="s">
        <v>1209</v>
      </c>
      <c r="D3" s="759" t="s">
        <v>1210</v>
      </c>
      <c r="E3" s="500" t="s">
        <v>726</v>
      </c>
      <c r="F3" s="500" t="s">
        <v>726</v>
      </c>
      <c r="G3" s="501">
        <v>46113.593819444446</v>
      </c>
      <c r="H3" s="759" t="s">
        <v>284</v>
      </c>
      <c r="I3" s="759"/>
    </row>
    <row r="4" spans="1:9">
      <c r="A4" s="759" t="s">
        <v>1211</v>
      </c>
      <c r="B4" s="500" t="s">
        <v>1212</v>
      </c>
      <c r="C4" s="759" t="s">
        <v>1209</v>
      </c>
      <c r="D4" s="759" t="s">
        <v>1210</v>
      </c>
      <c r="E4" s="500" t="s">
        <v>726</v>
      </c>
      <c r="F4" s="500" t="s">
        <v>726</v>
      </c>
      <c r="G4" s="501">
        <v>46113.593819444446</v>
      </c>
      <c r="H4" s="759" t="s">
        <v>284</v>
      </c>
      <c r="I4" s="759"/>
    </row>
    <row r="5" spans="1:9">
      <c r="A5" s="759" t="s">
        <v>1213</v>
      </c>
      <c r="B5" s="500" t="s">
        <v>1212</v>
      </c>
      <c r="C5" s="759" t="s">
        <v>1209</v>
      </c>
      <c r="D5" s="759" t="s">
        <v>1210</v>
      </c>
      <c r="E5" s="500" t="s">
        <v>726</v>
      </c>
      <c r="F5" s="500" t="s">
        <v>726</v>
      </c>
      <c r="G5" s="501">
        <v>46113.593819444446</v>
      </c>
      <c r="H5" s="759" t="s">
        <v>284</v>
      </c>
      <c r="I5" s="759"/>
    </row>
    <row r="6" spans="1:9">
      <c r="A6" s="759" t="s">
        <v>1214</v>
      </c>
      <c r="B6" s="500" t="s">
        <v>1212</v>
      </c>
      <c r="C6" s="759" t="s">
        <v>1209</v>
      </c>
      <c r="D6" s="759" t="s">
        <v>1210</v>
      </c>
      <c r="E6" s="500" t="s">
        <v>726</v>
      </c>
      <c r="F6" s="500" t="s">
        <v>726</v>
      </c>
      <c r="G6" s="501">
        <v>46113.593819444446</v>
      </c>
      <c r="H6" s="759" t="s">
        <v>284</v>
      </c>
      <c r="I6" s="759"/>
    </row>
    <row r="7" spans="1:9">
      <c r="A7" s="759" t="s">
        <v>1215</v>
      </c>
      <c r="B7" s="500" t="s">
        <v>1212</v>
      </c>
      <c r="C7" s="759" t="s">
        <v>1209</v>
      </c>
      <c r="D7" s="759" t="s">
        <v>1210</v>
      </c>
      <c r="E7" s="500" t="s">
        <v>726</v>
      </c>
      <c r="F7" s="500" t="s">
        <v>726</v>
      </c>
      <c r="G7" s="501">
        <v>46113.593819444446</v>
      </c>
      <c r="H7" s="759" t="s">
        <v>284</v>
      </c>
      <c r="I7" s="759"/>
    </row>
    <row r="8" spans="1:9">
      <c r="A8" s="500" t="s">
        <v>1216</v>
      </c>
      <c r="B8" s="500" t="s">
        <v>1205</v>
      </c>
      <c r="C8" s="759" t="s">
        <v>1206</v>
      </c>
      <c r="D8" s="759" t="s">
        <v>1207</v>
      </c>
      <c r="E8" s="500" t="s">
        <v>726</v>
      </c>
      <c r="F8" s="500" t="s">
        <v>726</v>
      </c>
      <c r="G8" s="501">
        <v>46113.593819444446</v>
      </c>
      <c r="H8" s="759" t="s">
        <v>284</v>
      </c>
      <c r="I8" s="759"/>
    </row>
    <row r="9" spans="1:9">
      <c r="A9" s="759" t="s">
        <v>1217</v>
      </c>
      <c r="B9" s="500" t="s">
        <v>1205</v>
      </c>
      <c r="C9" s="759" t="s">
        <v>1209</v>
      </c>
      <c r="D9" s="759" t="s">
        <v>1210</v>
      </c>
      <c r="E9" s="500" t="s">
        <v>726</v>
      </c>
      <c r="F9" s="500" t="s">
        <v>726</v>
      </c>
      <c r="G9" s="501">
        <v>46113.593819444446</v>
      </c>
      <c r="H9" s="759" t="s">
        <v>284</v>
      </c>
      <c r="I9" s="759"/>
    </row>
    <row r="10" spans="1:9">
      <c r="A10" s="500" t="s">
        <v>1218</v>
      </c>
      <c r="B10" s="500" t="s">
        <v>1205</v>
      </c>
      <c r="C10" s="759" t="s">
        <v>1206</v>
      </c>
      <c r="D10" s="759" t="s">
        <v>1207</v>
      </c>
      <c r="E10" s="500" t="s">
        <v>726</v>
      </c>
      <c r="F10" s="500" t="s">
        <v>726</v>
      </c>
      <c r="G10" s="501">
        <v>46113.593819444446</v>
      </c>
      <c r="H10" s="759" t="s">
        <v>284</v>
      </c>
      <c r="I10" s="759"/>
    </row>
    <row r="11" spans="1:9">
      <c r="A11" s="759" t="s">
        <v>93</v>
      </c>
      <c r="B11" s="500" t="s">
        <v>1205</v>
      </c>
      <c r="C11" s="759" t="s">
        <v>1209</v>
      </c>
      <c r="D11" s="759" t="s">
        <v>1210</v>
      </c>
      <c r="E11" s="500" t="s">
        <v>726</v>
      </c>
      <c r="F11" s="500" t="s">
        <v>726</v>
      </c>
      <c r="G11" s="501">
        <v>46113.593819444446</v>
      </c>
      <c r="H11" s="759" t="s">
        <v>284</v>
      </c>
      <c r="I11" s="759"/>
    </row>
    <row r="12" spans="1:9">
      <c r="A12" s="500" t="s">
        <v>1219</v>
      </c>
      <c r="B12" s="500" t="s">
        <v>1205</v>
      </c>
      <c r="C12" s="759" t="s">
        <v>1206</v>
      </c>
      <c r="D12" s="759" t="s">
        <v>1207</v>
      </c>
      <c r="E12" s="500" t="s">
        <v>726</v>
      </c>
      <c r="F12" s="500" t="s">
        <v>726</v>
      </c>
      <c r="G12" s="501">
        <v>46113.593819444446</v>
      </c>
      <c r="H12" s="759" t="s">
        <v>284</v>
      </c>
      <c r="I12" s="759"/>
    </row>
    <row r="13" spans="1:9">
      <c r="A13" s="759" t="s">
        <v>1220</v>
      </c>
      <c r="B13" s="500" t="s">
        <v>1205</v>
      </c>
      <c r="C13" s="759" t="s">
        <v>1209</v>
      </c>
      <c r="D13" s="759" t="s">
        <v>1210</v>
      </c>
      <c r="E13" s="500" t="s">
        <v>726</v>
      </c>
      <c r="F13" s="500" t="s">
        <v>726</v>
      </c>
      <c r="G13" s="501">
        <v>46113.593819444446</v>
      </c>
      <c r="H13" s="759" t="s">
        <v>284</v>
      </c>
      <c r="I13" s="759"/>
    </row>
    <row r="14" spans="1:9">
      <c r="A14" s="500" t="s">
        <v>1221</v>
      </c>
      <c r="B14" s="500" t="s">
        <v>1205</v>
      </c>
      <c r="C14" s="759" t="s">
        <v>1206</v>
      </c>
      <c r="D14" s="759" t="s">
        <v>1207</v>
      </c>
      <c r="E14" s="500" t="s">
        <v>726</v>
      </c>
      <c r="F14" s="500" t="s">
        <v>726</v>
      </c>
      <c r="G14" s="501">
        <v>46113.593819444446</v>
      </c>
      <c r="H14" s="759" t="s">
        <v>284</v>
      </c>
      <c r="I14" s="759"/>
    </row>
    <row r="15" spans="1:9">
      <c r="A15" s="759" t="s">
        <v>1222</v>
      </c>
      <c r="B15" s="500" t="s">
        <v>1205</v>
      </c>
      <c r="C15" s="759" t="s">
        <v>1209</v>
      </c>
      <c r="D15" s="759" t="s">
        <v>1210</v>
      </c>
      <c r="E15" s="500" t="s">
        <v>726</v>
      </c>
      <c r="F15" s="500" t="s">
        <v>726</v>
      </c>
      <c r="G15" s="501">
        <v>46113.593819444446</v>
      </c>
      <c r="H15" s="759" t="s">
        <v>284</v>
      </c>
      <c r="I15" s="759"/>
    </row>
    <row r="16" spans="1:9">
      <c r="A16" s="500" t="s">
        <v>1223</v>
      </c>
      <c r="B16" s="500" t="s">
        <v>1205</v>
      </c>
      <c r="C16" s="759" t="s">
        <v>1206</v>
      </c>
      <c r="D16" s="759" t="s">
        <v>1207</v>
      </c>
      <c r="E16" s="500" t="s">
        <v>726</v>
      </c>
      <c r="F16" s="500" t="s">
        <v>726</v>
      </c>
      <c r="G16" s="501">
        <v>46113.593819444446</v>
      </c>
      <c r="H16" s="759" t="s">
        <v>284</v>
      </c>
      <c r="I16" s="759"/>
    </row>
    <row r="17" spans="1:8">
      <c r="A17" s="759" t="s">
        <v>1224</v>
      </c>
      <c r="B17" s="500" t="s">
        <v>1205</v>
      </c>
      <c r="C17" s="759" t="s">
        <v>1209</v>
      </c>
      <c r="D17" s="759" t="s">
        <v>1210</v>
      </c>
      <c r="E17" s="500" t="s">
        <v>726</v>
      </c>
      <c r="F17" s="500" t="s">
        <v>726</v>
      </c>
      <c r="G17" s="501">
        <v>46113.593819444446</v>
      </c>
      <c r="H17" s="759" t="s">
        <v>284</v>
      </c>
    </row>
    <row r="18" spans="1:8">
      <c r="A18" s="500" t="s">
        <v>1225</v>
      </c>
      <c r="B18" s="500" t="s">
        <v>1205</v>
      </c>
      <c r="C18" s="759" t="s">
        <v>1206</v>
      </c>
      <c r="D18" s="759" t="s">
        <v>1207</v>
      </c>
      <c r="E18" s="500" t="s">
        <v>726</v>
      </c>
      <c r="F18" s="500" t="s">
        <v>726</v>
      </c>
      <c r="G18" s="501">
        <v>46113.593819444446</v>
      </c>
      <c r="H18" s="759" t="s">
        <v>284</v>
      </c>
    </row>
    <row r="19" spans="1:8">
      <c r="A19" s="759" t="s">
        <v>1226</v>
      </c>
      <c r="B19" s="500" t="s">
        <v>1205</v>
      </c>
      <c r="C19" s="759" t="s">
        <v>1209</v>
      </c>
      <c r="D19" s="759" t="s">
        <v>1210</v>
      </c>
      <c r="E19" s="500" t="s">
        <v>726</v>
      </c>
      <c r="F19" s="500" t="s">
        <v>726</v>
      </c>
      <c r="G19" s="501">
        <v>46113.593819444446</v>
      </c>
      <c r="H19" s="759" t="s">
        <v>284</v>
      </c>
    </row>
    <row r="20" spans="1:8">
      <c r="A20" s="500" t="s">
        <v>1227</v>
      </c>
      <c r="B20" s="500" t="s">
        <v>1205</v>
      </c>
      <c r="C20" s="759" t="s">
        <v>1206</v>
      </c>
      <c r="D20" s="759" t="s">
        <v>1207</v>
      </c>
      <c r="E20" s="500" t="s">
        <v>726</v>
      </c>
      <c r="F20" s="500" t="s">
        <v>726</v>
      </c>
      <c r="G20" s="501">
        <v>46113.593819444446</v>
      </c>
      <c r="H20" s="759" t="s">
        <v>284</v>
      </c>
    </row>
    <row r="21" spans="1:8">
      <c r="A21" s="759" t="s">
        <v>1228</v>
      </c>
      <c r="B21" s="500" t="s">
        <v>1205</v>
      </c>
      <c r="C21" s="759" t="s">
        <v>1209</v>
      </c>
      <c r="D21" s="759" t="s">
        <v>1210</v>
      </c>
      <c r="E21" s="500" t="s">
        <v>726</v>
      </c>
      <c r="F21" s="500" t="s">
        <v>726</v>
      </c>
      <c r="G21" s="501">
        <v>46113.593819444446</v>
      </c>
      <c r="H21" s="759" t="s">
        <v>284</v>
      </c>
    </row>
    <row r="22" spans="1:8">
      <c r="A22" s="500" t="s">
        <v>1229</v>
      </c>
      <c r="B22" s="500" t="s">
        <v>1205</v>
      </c>
      <c r="C22" s="759" t="s">
        <v>1206</v>
      </c>
      <c r="D22" s="759" t="s">
        <v>1207</v>
      </c>
      <c r="E22" s="500" t="s">
        <v>726</v>
      </c>
      <c r="F22" s="500" t="s">
        <v>726</v>
      </c>
      <c r="G22" s="501">
        <v>46113.593819444446</v>
      </c>
      <c r="H22" s="759" t="s">
        <v>284</v>
      </c>
    </row>
    <row r="23" spans="1:8">
      <c r="A23" s="759" t="s">
        <v>1230</v>
      </c>
      <c r="B23" s="500" t="s">
        <v>1205</v>
      </c>
      <c r="C23" s="759" t="s">
        <v>1209</v>
      </c>
      <c r="D23" s="759" t="s">
        <v>1210</v>
      </c>
      <c r="E23" s="500" t="s">
        <v>726</v>
      </c>
      <c r="F23" s="500" t="s">
        <v>726</v>
      </c>
      <c r="G23" s="501">
        <v>46113.593819444446</v>
      </c>
      <c r="H23" s="759" t="s">
        <v>284</v>
      </c>
    </row>
    <row r="24" spans="1:8">
      <c r="A24" s="500" t="s">
        <v>1231</v>
      </c>
      <c r="B24" s="500" t="s">
        <v>1205</v>
      </c>
      <c r="C24" s="759" t="s">
        <v>1206</v>
      </c>
      <c r="D24" s="759" t="s">
        <v>1207</v>
      </c>
      <c r="E24" s="500" t="s">
        <v>726</v>
      </c>
      <c r="F24" s="500" t="s">
        <v>726</v>
      </c>
      <c r="G24" s="501">
        <v>46113.593819444446</v>
      </c>
      <c r="H24" s="759" t="s">
        <v>284</v>
      </c>
    </row>
    <row r="25" spans="1:8">
      <c r="A25" s="759" t="s">
        <v>1232</v>
      </c>
      <c r="B25" s="500" t="s">
        <v>1205</v>
      </c>
      <c r="C25" s="759" t="s">
        <v>1209</v>
      </c>
      <c r="D25" s="759" t="s">
        <v>1210</v>
      </c>
      <c r="E25" s="500" t="s">
        <v>726</v>
      </c>
      <c r="F25" s="500" t="s">
        <v>726</v>
      </c>
      <c r="G25" s="501">
        <v>46113.593819444446</v>
      </c>
      <c r="H25" s="759" t="s">
        <v>284</v>
      </c>
    </row>
    <row r="26" spans="1:8">
      <c r="A26" s="500" t="s">
        <v>1233</v>
      </c>
      <c r="B26" s="500" t="s">
        <v>1205</v>
      </c>
      <c r="C26" s="759" t="s">
        <v>1206</v>
      </c>
      <c r="D26" s="759" t="s">
        <v>1207</v>
      </c>
      <c r="E26" s="500" t="s">
        <v>726</v>
      </c>
      <c r="F26" s="500" t="s">
        <v>726</v>
      </c>
      <c r="G26" s="501">
        <v>46113.593819444446</v>
      </c>
      <c r="H26" s="759" t="s">
        <v>284</v>
      </c>
    </row>
    <row r="27" spans="1:8">
      <c r="A27" s="759" t="s">
        <v>1234</v>
      </c>
      <c r="B27" s="500" t="s">
        <v>1205</v>
      </c>
      <c r="C27" s="759" t="s">
        <v>1209</v>
      </c>
      <c r="D27" s="759" t="s">
        <v>1210</v>
      </c>
      <c r="E27" s="500" t="s">
        <v>726</v>
      </c>
      <c r="F27" s="500" t="s">
        <v>726</v>
      </c>
      <c r="G27" s="501">
        <v>46113.593819444446</v>
      </c>
      <c r="H27" s="759" t="s">
        <v>284</v>
      </c>
    </row>
    <row r="28" spans="1:8">
      <c r="A28" s="500" t="s">
        <v>1235</v>
      </c>
      <c r="B28" s="500" t="s">
        <v>1205</v>
      </c>
      <c r="C28" s="759" t="s">
        <v>1206</v>
      </c>
      <c r="D28" s="759" t="s">
        <v>1207</v>
      </c>
      <c r="E28" s="500" t="s">
        <v>726</v>
      </c>
      <c r="F28" s="500" t="s">
        <v>726</v>
      </c>
      <c r="G28" s="501">
        <v>46113.593819444446</v>
      </c>
      <c r="H28" s="759" t="s">
        <v>284</v>
      </c>
    </row>
    <row r="29" spans="1:8">
      <c r="A29" s="759" t="s">
        <v>1236</v>
      </c>
      <c r="B29" s="500" t="s">
        <v>1205</v>
      </c>
      <c r="C29" s="759" t="s">
        <v>1209</v>
      </c>
      <c r="D29" s="759" t="s">
        <v>1210</v>
      </c>
      <c r="E29" s="500" t="s">
        <v>726</v>
      </c>
      <c r="F29" s="500" t="s">
        <v>726</v>
      </c>
      <c r="G29" s="501">
        <v>46113.593819444446</v>
      </c>
      <c r="H29" s="759" t="s">
        <v>284</v>
      </c>
    </row>
    <row r="30" spans="1:8">
      <c r="A30" s="500" t="s">
        <v>1237</v>
      </c>
      <c r="B30" s="500" t="s">
        <v>1205</v>
      </c>
      <c r="C30" s="759" t="s">
        <v>1206</v>
      </c>
      <c r="D30" s="759" t="s">
        <v>1207</v>
      </c>
      <c r="E30" s="500" t="s">
        <v>726</v>
      </c>
      <c r="F30" s="500" t="s">
        <v>726</v>
      </c>
      <c r="G30" s="501">
        <v>46113.593819444446</v>
      </c>
      <c r="H30" s="759" t="s">
        <v>284</v>
      </c>
    </row>
    <row r="31" spans="1:8">
      <c r="A31" s="759" t="s">
        <v>65</v>
      </c>
      <c r="B31" s="500" t="s">
        <v>1205</v>
      </c>
      <c r="C31" s="759" t="s">
        <v>1209</v>
      </c>
      <c r="D31" s="759" t="s">
        <v>1210</v>
      </c>
      <c r="E31" s="500" t="s">
        <v>726</v>
      </c>
      <c r="F31" s="500" t="s">
        <v>726</v>
      </c>
      <c r="G31" s="501">
        <v>46113.593819444446</v>
      </c>
      <c r="H31" s="759" t="s">
        <v>284</v>
      </c>
    </row>
    <row r="32" spans="1:8">
      <c r="A32" s="500" t="s">
        <v>1238</v>
      </c>
      <c r="B32" s="500" t="s">
        <v>1205</v>
      </c>
      <c r="C32" s="759" t="s">
        <v>1206</v>
      </c>
      <c r="D32" s="759" t="s">
        <v>1207</v>
      </c>
      <c r="E32" s="500" t="s">
        <v>726</v>
      </c>
      <c r="F32" s="500" t="s">
        <v>726</v>
      </c>
      <c r="G32" s="501">
        <v>46113.593819444446</v>
      </c>
      <c r="H32" s="759" t="s">
        <v>284</v>
      </c>
    </row>
    <row r="33" spans="1:8">
      <c r="A33" s="500" t="s">
        <v>1239</v>
      </c>
      <c r="B33" s="500" t="s">
        <v>1240</v>
      </c>
      <c r="C33" s="759" t="s">
        <v>1206</v>
      </c>
      <c r="D33" s="759" t="s">
        <v>1241</v>
      </c>
      <c r="E33" s="500" t="s">
        <v>726</v>
      </c>
      <c r="F33" s="500" t="s">
        <v>726</v>
      </c>
      <c r="G33" s="501">
        <v>46113.593819444446</v>
      </c>
      <c r="H33" s="759" t="s">
        <v>284</v>
      </c>
    </row>
    <row r="34" spans="1:8">
      <c r="A34" s="500" t="s">
        <v>1242</v>
      </c>
      <c r="B34" s="500" t="s">
        <v>1243</v>
      </c>
      <c r="C34" s="759" t="s">
        <v>1206</v>
      </c>
      <c r="D34" s="759" t="s">
        <v>1244</v>
      </c>
      <c r="E34" s="500" t="s">
        <v>726</v>
      </c>
      <c r="F34" s="500" t="s">
        <v>726</v>
      </c>
      <c r="G34" s="501">
        <v>46113.593819444446</v>
      </c>
      <c r="H34" s="759" t="s">
        <v>284</v>
      </c>
    </row>
    <row r="35" spans="1:8">
      <c r="A35" s="759" t="s">
        <v>1245</v>
      </c>
      <c r="B35" s="500" t="s">
        <v>1246</v>
      </c>
      <c r="C35" s="759" t="s">
        <v>1209</v>
      </c>
      <c r="D35" s="759" t="s">
        <v>1210</v>
      </c>
      <c r="E35" s="500" t="s">
        <v>726</v>
      </c>
      <c r="F35" s="500" t="s">
        <v>726</v>
      </c>
      <c r="G35" s="501">
        <v>46113.593819444446</v>
      </c>
      <c r="H35" s="759" t="s">
        <v>284</v>
      </c>
    </row>
    <row r="36" spans="1:8">
      <c r="A36" s="500" t="s">
        <v>1247</v>
      </c>
      <c r="B36" s="500" t="s">
        <v>1248</v>
      </c>
      <c r="C36" s="759" t="s">
        <v>1206</v>
      </c>
      <c r="D36" s="759" t="s">
        <v>1207</v>
      </c>
      <c r="E36" s="500" t="s">
        <v>726</v>
      </c>
      <c r="F36" s="500" t="s">
        <v>726</v>
      </c>
      <c r="G36" s="501">
        <v>46113.593819444446</v>
      </c>
      <c r="H36" s="759" t="s">
        <v>284</v>
      </c>
    </row>
    <row r="37" spans="1:8">
      <c r="A37" s="759" t="s">
        <v>1249</v>
      </c>
      <c r="B37" s="500" t="s">
        <v>1248</v>
      </c>
      <c r="C37" s="759" t="s">
        <v>1209</v>
      </c>
      <c r="D37" s="759" t="s">
        <v>1210</v>
      </c>
      <c r="E37" s="500" t="s">
        <v>726</v>
      </c>
      <c r="F37" s="500" t="s">
        <v>726</v>
      </c>
      <c r="G37" s="501">
        <v>46113.593819444446</v>
      </c>
      <c r="H37" s="759" t="s">
        <v>284</v>
      </c>
    </row>
    <row r="38" spans="1:8">
      <c r="A38" s="500" t="s">
        <v>1250</v>
      </c>
      <c r="B38" s="500" t="s">
        <v>1251</v>
      </c>
      <c r="C38" s="759" t="s">
        <v>1206</v>
      </c>
      <c r="D38" s="759" t="s">
        <v>1207</v>
      </c>
      <c r="E38" s="500" t="s">
        <v>726</v>
      </c>
      <c r="F38" s="500" t="s">
        <v>726</v>
      </c>
      <c r="G38" s="501">
        <v>46113.593819444446</v>
      </c>
      <c r="H38" s="759" t="s">
        <v>284</v>
      </c>
    </row>
    <row r="39" spans="1:8">
      <c r="A39" s="759" t="s">
        <v>1252</v>
      </c>
      <c r="B39" s="500" t="s">
        <v>1251</v>
      </c>
      <c r="C39" s="759" t="s">
        <v>1209</v>
      </c>
      <c r="D39" s="759" t="s">
        <v>1210</v>
      </c>
      <c r="E39" s="500" t="s">
        <v>726</v>
      </c>
      <c r="F39" s="500" t="s">
        <v>726</v>
      </c>
      <c r="G39" s="501">
        <v>46113.593819444446</v>
      </c>
      <c r="H39" s="759" t="s">
        <v>284</v>
      </c>
    </row>
    <row r="40" spans="1:8">
      <c r="A40" s="500" t="s">
        <v>1253</v>
      </c>
      <c r="B40" s="500" t="s">
        <v>1251</v>
      </c>
      <c r="C40" s="759" t="s">
        <v>1206</v>
      </c>
      <c r="D40" s="759" t="s">
        <v>1207</v>
      </c>
      <c r="E40" s="500" t="s">
        <v>726</v>
      </c>
      <c r="F40" s="500" t="s">
        <v>726</v>
      </c>
      <c r="G40" s="501">
        <v>46113.593819444446</v>
      </c>
      <c r="H40" s="759" t="s">
        <v>284</v>
      </c>
    </row>
    <row r="41" spans="1:8">
      <c r="A41" s="759" t="s">
        <v>1254</v>
      </c>
      <c r="B41" s="500" t="s">
        <v>1251</v>
      </c>
      <c r="C41" s="759" t="s">
        <v>1209</v>
      </c>
      <c r="D41" s="759" t="s">
        <v>1210</v>
      </c>
      <c r="E41" s="500" t="s">
        <v>726</v>
      </c>
      <c r="F41" s="500" t="s">
        <v>726</v>
      </c>
      <c r="G41" s="501">
        <v>46113.593819444446</v>
      </c>
      <c r="H41" s="759" t="s">
        <v>284</v>
      </c>
    </row>
    <row r="42" spans="1:8">
      <c r="A42" s="500" t="s">
        <v>1255</v>
      </c>
      <c r="B42" s="500" t="s">
        <v>1205</v>
      </c>
      <c r="C42" s="759" t="s">
        <v>1206</v>
      </c>
      <c r="D42" s="759" t="s">
        <v>1207</v>
      </c>
      <c r="E42" s="500" t="s">
        <v>726</v>
      </c>
      <c r="F42" s="500" t="s">
        <v>726</v>
      </c>
      <c r="G42" s="501">
        <v>46113.593819444446</v>
      </c>
      <c r="H42" s="759" t="s">
        <v>284</v>
      </c>
    </row>
    <row r="43" spans="1:8">
      <c r="A43" s="759" t="s">
        <v>1256</v>
      </c>
      <c r="B43" s="500" t="s">
        <v>1205</v>
      </c>
      <c r="C43" s="759" t="s">
        <v>1209</v>
      </c>
      <c r="D43" s="759" t="s">
        <v>1210</v>
      </c>
      <c r="E43" s="500" t="s">
        <v>726</v>
      </c>
      <c r="F43" s="500" t="s">
        <v>726</v>
      </c>
      <c r="G43" s="501">
        <v>46113.593819444446</v>
      </c>
      <c r="H43" s="759" t="s">
        <v>284</v>
      </c>
    </row>
    <row r="44" spans="1:8">
      <c r="A44" s="500" t="s">
        <v>1257</v>
      </c>
      <c r="B44" s="500" t="s">
        <v>1205</v>
      </c>
      <c r="C44" s="759" t="s">
        <v>1206</v>
      </c>
      <c r="D44" s="759" t="s">
        <v>1207</v>
      </c>
      <c r="E44" s="500" t="s">
        <v>726</v>
      </c>
      <c r="F44" s="500" t="s">
        <v>726</v>
      </c>
      <c r="G44" s="501">
        <v>46113.593819444446</v>
      </c>
      <c r="H44" s="759" t="s">
        <v>284</v>
      </c>
    </row>
    <row r="45" spans="1:8">
      <c r="A45" s="759" t="s">
        <v>1258</v>
      </c>
      <c r="B45" s="500" t="s">
        <v>1205</v>
      </c>
      <c r="C45" s="759" t="s">
        <v>1209</v>
      </c>
      <c r="D45" s="759" t="s">
        <v>1210</v>
      </c>
      <c r="E45" s="500" t="s">
        <v>726</v>
      </c>
      <c r="F45" s="500" t="s">
        <v>726</v>
      </c>
      <c r="G45" s="501">
        <v>46113.593819444446</v>
      </c>
      <c r="H45" s="759" t="s">
        <v>284</v>
      </c>
    </row>
    <row r="46" spans="1:8">
      <c r="A46" s="500" t="s">
        <v>1259</v>
      </c>
      <c r="B46" s="500" t="s">
        <v>1205</v>
      </c>
      <c r="C46" s="759" t="s">
        <v>1206</v>
      </c>
      <c r="D46" s="759" t="s">
        <v>1207</v>
      </c>
      <c r="E46" s="500" t="s">
        <v>726</v>
      </c>
      <c r="F46" s="500" t="s">
        <v>726</v>
      </c>
      <c r="G46" s="501">
        <v>46113.593819444446</v>
      </c>
      <c r="H46" s="759" t="s">
        <v>284</v>
      </c>
    </row>
    <row r="47" spans="1:8">
      <c r="A47" s="759" t="s">
        <v>1260</v>
      </c>
      <c r="B47" s="500" t="s">
        <v>1205</v>
      </c>
      <c r="C47" s="759" t="s">
        <v>1209</v>
      </c>
      <c r="D47" s="759" t="s">
        <v>1210</v>
      </c>
      <c r="E47" s="500" t="s">
        <v>726</v>
      </c>
      <c r="F47" s="500" t="s">
        <v>726</v>
      </c>
      <c r="G47" s="501">
        <v>46113.593819444446</v>
      </c>
      <c r="H47" s="759" t="s">
        <v>284</v>
      </c>
    </row>
    <row r="48" spans="1:8">
      <c r="A48" s="500" t="s">
        <v>1261</v>
      </c>
      <c r="B48" s="500" t="s">
        <v>1205</v>
      </c>
      <c r="C48" s="759" t="s">
        <v>1206</v>
      </c>
      <c r="D48" s="759" t="s">
        <v>1207</v>
      </c>
      <c r="E48" s="500" t="s">
        <v>726</v>
      </c>
      <c r="F48" s="500" t="s">
        <v>726</v>
      </c>
      <c r="G48" s="501">
        <v>46113.593819444446</v>
      </c>
      <c r="H48" s="759" t="s">
        <v>284</v>
      </c>
    </row>
    <row r="49" spans="1:8">
      <c r="A49" s="759" t="s">
        <v>1262</v>
      </c>
      <c r="B49" s="500" t="s">
        <v>1205</v>
      </c>
      <c r="C49" s="759" t="s">
        <v>1209</v>
      </c>
      <c r="D49" s="759" t="s">
        <v>1210</v>
      </c>
      <c r="E49" s="500" t="s">
        <v>726</v>
      </c>
      <c r="F49" s="500" t="s">
        <v>726</v>
      </c>
      <c r="G49" s="501">
        <v>46113.593819444446</v>
      </c>
      <c r="H49" s="759" t="s">
        <v>284</v>
      </c>
    </row>
    <row r="50" spans="1:8">
      <c r="A50" s="759" t="s">
        <v>1263</v>
      </c>
      <c r="B50" s="500" t="s">
        <v>1264</v>
      </c>
      <c r="C50" s="759" t="s">
        <v>1209</v>
      </c>
      <c r="D50" s="759" t="s">
        <v>1210</v>
      </c>
      <c r="E50" s="500" t="s">
        <v>726</v>
      </c>
      <c r="F50" s="500" t="s">
        <v>726</v>
      </c>
      <c r="G50" s="501">
        <v>46113.593831018516</v>
      </c>
      <c r="H50" s="759" t="s">
        <v>284</v>
      </c>
    </row>
    <row r="51" spans="1:8">
      <c r="A51" s="500" t="s">
        <v>1265</v>
      </c>
      <c r="B51" s="500" t="s">
        <v>1266</v>
      </c>
      <c r="C51" s="759" t="s">
        <v>1206</v>
      </c>
      <c r="D51" s="759" t="s">
        <v>1241</v>
      </c>
      <c r="E51" s="500" t="s">
        <v>726</v>
      </c>
      <c r="F51" s="500" t="s">
        <v>726</v>
      </c>
      <c r="G51" s="501">
        <v>46113.593831018516</v>
      </c>
      <c r="H51" s="759" t="s">
        <v>284</v>
      </c>
    </row>
    <row r="52" spans="1:8">
      <c r="A52" s="500" t="s">
        <v>1267</v>
      </c>
      <c r="B52" s="500" t="s">
        <v>1266</v>
      </c>
      <c r="C52" s="759" t="s">
        <v>1206</v>
      </c>
      <c r="D52" s="759" t="s">
        <v>1244</v>
      </c>
      <c r="E52" s="500" t="s">
        <v>726</v>
      </c>
      <c r="F52" s="500" t="s">
        <v>726</v>
      </c>
      <c r="G52" s="501">
        <v>46113.593831018516</v>
      </c>
      <c r="H52" s="759" t="s">
        <v>284</v>
      </c>
    </row>
    <row r="53" spans="1:8">
      <c r="A53" s="759" t="s">
        <v>1268</v>
      </c>
      <c r="B53" s="500" t="s">
        <v>1266</v>
      </c>
      <c r="C53" s="759" t="s">
        <v>1209</v>
      </c>
      <c r="D53" s="759" t="s">
        <v>1210</v>
      </c>
      <c r="E53" s="500" t="s">
        <v>726</v>
      </c>
      <c r="F53" s="500" t="s">
        <v>726</v>
      </c>
      <c r="G53" s="501">
        <v>46113.593831018516</v>
      </c>
      <c r="H53" s="759" t="s">
        <v>284</v>
      </c>
    </row>
    <row r="54" spans="1:8">
      <c r="A54" s="500" t="s">
        <v>1269</v>
      </c>
      <c r="B54" s="500" t="s">
        <v>1205</v>
      </c>
      <c r="C54" s="759" t="s">
        <v>1206</v>
      </c>
      <c r="D54" s="759" t="s">
        <v>1207</v>
      </c>
      <c r="E54" s="500" t="s">
        <v>726</v>
      </c>
      <c r="F54" s="500" t="s">
        <v>726</v>
      </c>
      <c r="G54" s="501">
        <v>46113.593831018516</v>
      </c>
      <c r="H54" s="759" t="s">
        <v>284</v>
      </c>
    </row>
    <row r="55" spans="1:8">
      <c r="A55" s="759" t="s">
        <v>1270</v>
      </c>
      <c r="B55" s="500" t="s">
        <v>1205</v>
      </c>
      <c r="C55" s="759" t="s">
        <v>1209</v>
      </c>
      <c r="D55" s="759" t="s">
        <v>1210</v>
      </c>
      <c r="E55" s="500" t="s">
        <v>726</v>
      </c>
      <c r="F55" s="500" t="s">
        <v>726</v>
      </c>
      <c r="G55" s="501">
        <v>46113.593831018516</v>
      </c>
      <c r="H55" s="759" t="s">
        <v>284</v>
      </c>
    </row>
    <row r="56" spans="1:8">
      <c r="A56" s="500" t="s">
        <v>1271</v>
      </c>
      <c r="B56" s="500" t="s">
        <v>1205</v>
      </c>
      <c r="C56" s="759" t="s">
        <v>1206</v>
      </c>
      <c r="D56" s="759" t="s">
        <v>1207</v>
      </c>
      <c r="E56" s="500" t="s">
        <v>726</v>
      </c>
      <c r="F56" s="500" t="s">
        <v>726</v>
      </c>
      <c r="G56" s="501">
        <v>46113.593831018516</v>
      </c>
      <c r="H56" s="759" t="s">
        <v>284</v>
      </c>
    </row>
    <row r="57" spans="1:8">
      <c r="A57" s="759" t="s">
        <v>1272</v>
      </c>
      <c r="B57" s="500" t="s">
        <v>1205</v>
      </c>
      <c r="C57" s="759" t="s">
        <v>1209</v>
      </c>
      <c r="D57" s="759" t="s">
        <v>1210</v>
      </c>
      <c r="E57" s="500" t="s">
        <v>726</v>
      </c>
      <c r="F57" s="500" t="s">
        <v>726</v>
      </c>
      <c r="G57" s="501">
        <v>46113.593831018516</v>
      </c>
      <c r="H57" s="759" t="s">
        <v>284</v>
      </c>
    </row>
    <row r="58" spans="1:8">
      <c r="A58" s="500" t="s">
        <v>1273</v>
      </c>
      <c r="B58" s="500" t="s">
        <v>1205</v>
      </c>
      <c r="C58" s="759" t="s">
        <v>1206</v>
      </c>
      <c r="D58" s="759" t="s">
        <v>1207</v>
      </c>
      <c r="E58" s="500" t="s">
        <v>726</v>
      </c>
      <c r="F58" s="500" t="s">
        <v>726</v>
      </c>
      <c r="G58" s="501">
        <v>46113.593831018516</v>
      </c>
      <c r="H58" s="759" t="s">
        <v>284</v>
      </c>
    </row>
    <row r="59" spans="1:8">
      <c r="A59" s="759" t="s">
        <v>1274</v>
      </c>
      <c r="B59" s="500" t="s">
        <v>1205</v>
      </c>
      <c r="C59" s="759" t="s">
        <v>1209</v>
      </c>
      <c r="D59" s="759" t="s">
        <v>1210</v>
      </c>
      <c r="E59" s="500" t="s">
        <v>726</v>
      </c>
      <c r="F59" s="500" t="s">
        <v>726</v>
      </c>
      <c r="G59" s="501">
        <v>46113.593831018516</v>
      </c>
      <c r="H59" s="759" t="s">
        <v>284</v>
      </c>
    </row>
    <row r="60" spans="1:8">
      <c r="A60" s="500" t="s">
        <v>1275</v>
      </c>
      <c r="B60" s="500" t="s">
        <v>1205</v>
      </c>
      <c r="C60" s="759" t="s">
        <v>1206</v>
      </c>
      <c r="D60" s="759" t="s">
        <v>1207</v>
      </c>
      <c r="E60" s="500" t="s">
        <v>726</v>
      </c>
      <c r="F60" s="500" t="s">
        <v>726</v>
      </c>
      <c r="G60" s="501">
        <v>46113.593831018516</v>
      </c>
      <c r="H60" s="759" t="s">
        <v>284</v>
      </c>
    </row>
    <row r="61" spans="1:8">
      <c r="A61" s="759" t="s">
        <v>1276</v>
      </c>
      <c r="B61" s="500" t="s">
        <v>1205</v>
      </c>
      <c r="C61" s="759" t="s">
        <v>1209</v>
      </c>
      <c r="D61" s="759" t="s">
        <v>1210</v>
      </c>
      <c r="E61" s="500" t="s">
        <v>726</v>
      </c>
      <c r="F61" s="500" t="s">
        <v>726</v>
      </c>
      <c r="G61" s="501">
        <v>46113.593831018516</v>
      </c>
      <c r="H61" s="759" t="s">
        <v>284</v>
      </c>
    </row>
    <row r="62" spans="1:8">
      <c r="A62" s="500" t="s">
        <v>1277</v>
      </c>
      <c r="B62" s="500" t="s">
        <v>1205</v>
      </c>
      <c r="C62" s="759" t="s">
        <v>1206</v>
      </c>
      <c r="D62" s="759" t="s">
        <v>1207</v>
      </c>
      <c r="E62" s="500" t="s">
        <v>726</v>
      </c>
      <c r="F62" s="500" t="s">
        <v>726</v>
      </c>
      <c r="G62" s="501">
        <v>46113.593831018516</v>
      </c>
      <c r="H62" s="759" t="s">
        <v>284</v>
      </c>
    </row>
    <row r="63" spans="1:8">
      <c r="A63" s="759" t="s">
        <v>1278</v>
      </c>
      <c r="B63" s="500" t="s">
        <v>1205</v>
      </c>
      <c r="C63" s="759" t="s">
        <v>1209</v>
      </c>
      <c r="D63" s="759" t="s">
        <v>1210</v>
      </c>
      <c r="E63" s="500" t="s">
        <v>726</v>
      </c>
      <c r="F63" s="500" t="s">
        <v>726</v>
      </c>
      <c r="G63" s="501">
        <v>46113.593831018516</v>
      </c>
      <c r="H63" s="759" t="s">
        <v>284</v>
      </c>
    </row>
    <row r="64" spans="1:8">
      <c r="A64" s="500" t="s">
        <v>1279</v>
      </c>
      <c r="B64" s="500" t="s">
        <v>1205</v>
      </c>
      <c r="C64" s="759" t="s">
        <v>1206</v>
      </c>
      <c r="D64" s="759" t="s">
        <v>1207</v>
      </c>
      <c r="E64" s="500" t="s">
        <v>726</v>
      </c>
      <c r="F64" s="500" t="s">
        <v>726</v>
      </c>
      <c r="G64" s="501">
        <v>46113.593831018516</v>
      </c>
      <c r="H64" s="759" t="s">
        <v>284</v>
      </c>
    </row>
    <row r="65" spans="1:8">
      <c r="A65" s="759" t="s">
        <v>1280</v>
      </c>
      <c r="B65" s="500" t="s">
        <v>1205</v>
      </c>
      <c r="C65" s="759" t="s">
        <v>1209</v>
      </c>
      <c r="D65" s="759" t="s">
        <v>1210</v>
      </c>
      <c r="E65" s="500" t="s">
        <v>726</v>
      </c>
      <c r="F65" s="500" t="s">
        <v>726</v>
      </c>
      <c r="G65" s="501">
        <v>46113.593831018516</v>
      </c>
      <c r="H65" s="759" t="s">
        <v>284</v>
      </c>
    </row>
    <row r="66" spans="1:8">
      <c r="A66" s="500" t="s">
        <v>1281</v>
      </c>
      <c r="B66" s="500" t="s">
        <v>1205</v>
      </c>
      <c r="C66" s="759" t="s">
        <v>1206</v>
      </c>
      <c r="D66" s="759" t="s">
        <v>1207</v>
      </c>
      <c r="E66" s="500" t="s">
        <v>726</v>
      </c>
      <c r="F66" s="500" t="s">
        <v>726</v>
      </c>
      <c r="G66" s="501">
        <v>46113.593831018516</v>
      </c>
      <c r="H66" s="759" t="s">
        <v>284</v>
      </c>
    </row>
    <row r="67" spans="1:8">
      <c r="A67" s="759" t="s">
        <v>1282</v>
      </c>
      <c r="B67" s="500" t="s">
        <v>1205</v>
      </c>
      <c r="C67" s="759" t="s">
        <v>1209</v>
      </c>
      <c r="D67" s="759" t="s">
        <v>1210</v>
      </c>
      <c r="E67" s="500" t="s">
        <v>726</v>
      </c>
      <c r="F67" s="500" t="s">
        <v>726</v>
      </c>
      <c r="G67" s="501">
        <v>46113.593831018516</v>
      </c>
      <c r="H67" s="759" t="s">
        <v>284</v>
      </c>
    </row>
    <row r="68" spans="1:8">
      <c r="A68" s="759" t="s">
        <v>570</v>
      </c>
      <c r="B68" s="500" t="s">
        <v>1283</v>
      </c>
      <c r="C68" s="759" t="s">
        <v>1209</v>
      </c>
      <c r="D68" s="759" t="s">
        <v>1210</v>
      </c>
      <c r="E68" s="500" t="s">
        <v>726</v>
      </c>
      <c r="F68" s="500" t="s">
        <v>726</v>
      </c>
      <c r="G68" s="501">
        <v>46113.593831018516</v>
      </c>
      <c r="H68" s="759" t="s">
        <v>284</v>
      </c>
    </row>
    <row r="69" spans="1:8">
      <c r="A69" s="500" t="s">
        <v>1284</v>
      </c>
      <c r="B69" s="500" t="s">
        <v>1205</v>
      </c>
      <c r="C69" s="759" t="s">
        <v>1206</v>
      </c>
      <c r="D69" s="759" t="s">
        <v>1207</v>
      </c>
      <c r="E69" s="500" t="s">
        <v>726</v>
      </c>
      <c r="F69" s="500" t="s">
        <v>726</v>
      </c>
      <c r="G69" s="501">
        <v>46113.593831018516</v>
      </c>
      <c r="H69" s="759" t="s">
        <v>284</v>
      </c>
    </row>
    <row r="70" spans="1:8">
      <c r="A70" s="759" t="s">
        <v>139</v>
      </c>
      <c r="B70" s="500" t="s">
        <v>1205</v>
      </c>
      <c r="C70" s="759" t="s">
        <v>1209</v>
      </c>
      <c r="D70" s="759" t="s">
        <v>1210</v>
      </c>
      <c r="E70" s="500" t="s">
        <v>726</v>
      </c>
      <c r="F70" s="500" t="s">
        <v>726</v>
      </c>
      <c r="G70" s="501">
        <v>46113.593831018516</v>
      </c>
      <c r="H70" s="759" t="s">
        <v>284</v>
      </c>
    </row>
    <row r="71" spans="1:8">
      <c r="A71" s="500" t="s">
        <v>1285</v>
      </c>
      <c r="B71" s="500" t="s">
        <v>1286</v>
      </c>
      <c r="C71" s="759" t="s">
        <v>1206</v>
      </c>
      <c r="D71" s="759" t="s">
        <v>1241</v>
      </c>
      <c r="E71" s="500" t="s">
        <v>726</v>
      </c>
      <c r="F71" s="500" t="s">
        <v>726</v>
      </c>
      <c r="G71" s="501">
        <v>46113.593831018516</v>
      </c>
      <c r="H71" s="759" t="s">
        <v>284</v>
      </c>
    </row>
    <row r="72" spans="1:8">
      <c r="A72" s="500" t="s">
        <v>1287</v>
      </c>
      <c r="B72" s="500" t="s">
        <v>1286</v>
      </c>
      <c r="C72" s="759" t="s">
        <v>1206</v>
      </c>
      <c r="D72" s="759" t="s">
        <v>1244</v>
      </c>
      <c r="E72" s="500" t="s">
        <v>726</v>
      </c>
      <c r="F72" s="500" t="s">
        <v>726</v>
      </c>
      <c r="G72" s="501">
        <v>46113.593831018516</v>
      </c>
      <c r="H72" s="759" t="s">
        <v>284</v>
      </c>
    </row>
    <row r="73" spans="1:8">
      <c r="A73" s="759" t="s">
        <v>1288</v>
      </c>
      <c r="B73" s="500" t="s">
        <v>1286</v>
      </c>
      <c r="C73" s="759" t="s">
        <v>1209</v>
      </c>
      <c r="D73" s="759" t="s">
        <v>1210</v>
      </c>
      <c r="E73" s="500" t="s">
        <v>726</v>
      </c>
      <c r="F73" s="500" t="s">
        <v>726</v>
      </c>
      <c r="G73" s="501">
        <v>46113.593831018516</v>
      </c>
      <c r="H73" s="759" t="s">
        <v>284</v>
      </c>
    </row>
    <row r="74" spans="1:8">
      <c r="A74" s="500" t="s">
        <v>1289</v>
      </c>
      <c r="B74" s="500" t="s">
        <v>1290</v>
      </c>
      <c r="C74" s="759" t="s">
        <v>1206</v>
      </c>
      <c r="D74" s="759" t="s">
        <v>1207</v>
      </c>
      <c r="E74" s="500" t="s">
        <v>726</v>
      </c>
      <c r="F74" s="500" t="s">
        <v>726</v>
      </c>
      <c r="G74" s="501">
        <v>46113.593831018516</v>
      </c>
      <c r="H74" s="759" t="s">
        <v>284</v>
      </c>
    </row>
    <row r="75" spans="1:8">
      <c r="A75" s="500" t="s">
        <v>1291</v>
      </c>
      <c r="B75" s="500" t="s">
        <v>1292</v>
      </c>
      <c r="C75" s="759" t="s">
        <v>1206</v>
      </c>
      <c r="D75" s="759" t="s">
        <v>1241</v>
      </c>
      <c r="E75" s="500" t="s">
        <v>726</v>
      </c>
      <c r="F75" s="500" t="s">
        <v>726</v>
      </c>
      <c r="G75" s="501">
        <v>46113.593831018516</v>
      </c>
      <c r="H75" s="759" t="s">
        <v>284</v>
      </c>
    </row>
    <row r="76" spans="1:8">
      <c r="A76" s="500" t="s">
        <v>1293</v>
      </c>
      <c r="B76" s="500" t="s">
        <v>1294</v>
      </c>
      <c r="C76" s="759" t="s">
        <v>1206</v>
      </c>
      <c r="D76" s="759" t="s">
        <v>1244</v>
      </c>
      <c r="E76" s="500" t="s">
        <v>726</v>
      </c>
      <c r="F76" s="500" t="s">
        <v>726</v>
      </c>
      <c r="G76" s="501">
        <v>46113.593831018516</v>
      </c>
      <c r="H76" s="759" t="s">
        <v>284</v>
      </c>
    </row>
    <row r="77" spans="1:8">
      <c r="A77" s="759" t="s">
        <v>1295</v>
      </c>
      <c r="B77" s="500" t="s">
        <v>1296</v>
      </c>
      <c r="C77" s="759" t="s">
        <v>1209</v>
      </c>
      <c r="D77" s="759" t="s">
        <v>1210</v>
      </c>
      <c r="E77" s="500" t="s">
        <v>726</v>
      </c>
      <c r="F77" s="500" t="s">
        <v>726</v>
      </c>
      <c r="G77" s="501">
        <v>46113.593831018516</v>
      </c>
      <c r="H77" s="759" t="s">
        <v>284</v>
      </c>
    </row>
    <row r="78" spans="1:8">
      <c r="A78" s="500" t="s">
        <v>1297</v>
      </c>
      <c r="B78" s="500" t="s">
        <v>1298</v>
      </c>
      <c r="C78" s="759" t="s">
        <v>1206</v>
      </c>
      <c r="D78" s="759" t="s">
        <v>1207</v>
      </c>
      <c r="E78" s="500" t="s">
        <v>726</v>
      </c>
      <c r="F78" s="500" t="s">
        <v>726</v>
      </c>
      <c r="G78" s="501">
        <v>46113.593831018516</v>
      </c>
      <c r="H78" s="759" t="s">
        <v>284</v>
      </c>
    </row>
    <row r="79" spans="1:8">
      <c r="A79" s="500" t="s">
        <v>1299</v>
      </c>
      <c r="B79" s="500" t="s">
        <v>1300</v>
      </c>
      <c r="C79" s="759" t="s">
        <v>1206</v>
      </c>
      <c r="D79" s="759" t="s">
        <v>1241</v>
      </c>
      <c r="E79" s="500" t="s">
        <v>726</v>
      </c>
      <c r="F79" s="500" t="s">
        <v>726</v>
      </c>
      <c r="G79" s="501">
        <v>46113.593831018516</v>
      </c>
      <c r="H79" s="759" t="s">
        <v>284</v>
      </c>
    </row>
    <row r="80" spans="1:8">
      <c r="A80" s="500" t="s">
        <v>1301</v>
      </c>
      <c r="B80" s="500" t="s">
        <v>1302</v>
      </c>
      <c r="C80" s="759" t="s">
        <v>1206</v>
      </c>
      <c r="D80" s="759" t="s">
        <v>1244</v>
      </c>
      <c r="E80" s="500" t="s">
        <v>726</v>
      </c>
      <c r="F80" s="500" t="s">
        <v>726</v>
      </c>
      <c r="G80" s="501">
        <v>46113.593831018516</v>
      </c>
      <c r="H80" s="759" t="s">
        <v>284</v>
      </c>
    </row>
    <row r="81" spans="1:8">
      <c r="A81" s="759" t="s">
        <v>1303</v>
      </c>
      <c r="B81" s="500" t="s">
        <v>1304</v>
      </c>
      <c r="C81" s="759" t="s">
        <v>1209</v>
      </c>
      <c r="D81" s="759" t="s">
        <v>1210</v>
      </c>
      <c r="E81" s="500" t="s">
        <v>726</v>
      </c>
      <c r="F81" s="500" t="s">
        <v>726</v>
      </c>
      <c r="G81" s="501">
        <v>46113.593831018516</v>
      </c>
      <c r="H81" s="759" t="s">
        <v>284</v>
      </c>
    </row>
    <row r="82" spans="1:8">
      <c r="A82" s="500" t="s">
        <v>1305</v>
      </c>
      <c r="B82" s="500" t="s">
        <v>1306</v>
      </c>
      <c r="C82" s="759" t="s">
        <v>1206</v>
      </c>
      <c r="D82" s="759" t="s">
        <v>1207</v>
      </c>
      <c r="E82" s="500" t="s">
        <v>726</v>
      </c>
      <c r="F82" s="500" t="s">
        <v>726</v>
      </c>
      <c r="G82" s="501">
        <v>46113.593831018516</v>
      </c>
      <c r="H82" s="759" t="s">
        <v>284</v>
      </c>
    </row>
    <row r="83" spans="1:8">
      <c r="A83" s="500" t="s">
        <v>1307</v>
      </c>
      <c r="B83" s="500" t="s">
        <v>1308</v>
      </c>
      <c r="C83" s="759" t="s">
        <v>1206</v>
      </c>
      <c r="D83" s="759" t="s">
        <v>1241</v>
      </c>
      <c r="E83" s="500" t="s">
        <v>726</v>
      </c>
      <c r="F83" s="500" t="s">
        <v>726</v>
      </c>
      <c r="G83" s="501">
        <v>46113.593831018516</v>
      </c>
      <c r="H83" s="759" t="s">
        <v>284</v>
      </c>
    </row>
    <row r="84" spans="1:8">
      <c r="A84" s="500" t="s">
        <v>1309</v>
      </c>
      <c r="B84" s="500" t="s">
        <v>1310</v>
      </c>
      <c r="C84" s="759" t="s">
        <v>1206</v>
      </c>
      <c r="D84" s="759" t="s">
        <v>1244</v>
      </c>
      <c r="E84" s="500" t="s">
        <v>726</v>
      </c>
      <c r="F84" s="500" t="s">
        <v>726</v>
      </c>
      <c r="G84" s="501">
        <v>46113.593831018516</v>
      </c>
      <c r="H84" s="759" t="s">
        <v>284</v>
      </c>
    </row>
    <row r="85" spans="1:8">
      <c r="A85" s="759" t="s">
        <v>1311</v>
      </c>
      <c r="B85" s="500" t="s">
        <v>1312</v>
      </c>
      <c r="C85" s="759" t="s">
        <v>1209</v>
      </c>
      <c r="D85" s="759" t="s">
        <v>1210</v>
      </c>
      <c r="E85" s="500" t="s">
        <v>726</v>
      </c>
      <c r="F85" s="500" t="s">
        <v>726</v>
      </c>
      <c r="G85" s="501">
        <v>46113.593831018516</v>
      </c>
      <c r="H85" s="759" t="s">
        <v>284</v>
      </c>
    </row>
    <row r="86" spans="1:8">
      <c r="A86" s="500" t="s">
        <v>1313</v>
      </c>
      <c r="B86" s="500" t="s">
        <v>1205</v>
      </c>
      <c r="C86" s="759" t="s">
        <v>1206</v>
      </c>
      <c r="D86" s="759" t="s">
        <v>1207</v>
      </c>
      <c r="E86" s="500" t="s">
        <v>726</v>
      </c>
      <c r="F86" s="500" t="s">
        <v>726</v>
      </c>
      <c r="G86" s="501">
        <v>46113.593831018516</v>
      </c>
      <c r="H86" s="759" t="s">
        <v>284</v>
      </c>
    </row>
    <row r="87" spans="1:8">
      <c r="A87" s="759" t="s">
        <v>1314</v>
      </c>
      <c r="B87" s="500" t="s">
        <v>1205</v>
      </c>
      <c r="C87" s="759" t="s">
        <v>1209</v>
      </c>
      <c r="D87" s="759" t="s">
        <v>1210</v>
      </c>
      <c r="E87" s="500" t="s">
        <v>726</v>
      </c>
      <c r="F87" s="500" t="s">
        <v>726</v>
      </c>
      <c r="G87" s="501">
        <v>46113.593831018516</v>
      </c>
      <c r="H87" s="759" t="s">
        <v>284</v>
      </c>
    </row>
    <row r="88" spans="1:8">
      <c r="A88" s="500" t="s">
        <v>1315</v>
      </c>
      <c r="B88" s="500" t="s">
        <v>1205</v>
      </c>
      <c r="C88" s="759" t="s">
        <v>1206</v>
      </c>
      <c r="D88" s="759" t="s">
        <v>1207</v>
      </c>
      <c r="E88" s="500" t="s">
        <v>726</v>
      </c>
      <c r="F88" s="500" t="s">
        <v>726</v>
      </c>
      <c r="G88" s="501">
        <v>46113.593831018516</v>
      </c>
      <c r="H88" s="759" t="s">
        <v>284</v>
      </c>
    </row>
    <row r="89" spans="1:8">
      <c r="A89" s="759" t="s">
        <v>339</v>
      </c>
      <c r="B89" s="500" t="s">
        <v>1205</v>
      </c>
      <c r="C89" s="759" t="s">
        <v>1209</v>
      </c>
      <c r="D89" s="759" t="s">
        <v>1210</v>
      </c>
      <c r="E89" s="500" t="s">
        <v>726</v>
      </c>
      <c r="F89" s="500" t="s">
        <v>726</v>
      </c>
      <c r="G89" s="501">
        <v>46113.593831018516</v>
      </c>
      <c r="H89" s="759" t="s">
        <v>284</v>
      </c>
    </row>
    <row r="90" spans="1:8">
      <c r="A90" s="500" t="s">
        <v>1316</v>
      </c>
      <c r="B90" s="500" t="s">
        <v>1205</v>
      </c>
      <c r="C90" s="759" t="s">
        <v>1206</v>
      </c>
      <c r="D90" s="759" t="s">
        <v>1207</v>
      </c>
      <c r="E90" s="500" t="s">
        <v>726</v>
      </c>
      <c r="F90" s="500" t="s">
        <v>726</v>
      </c>
      <c r="G90" s="501">
        <v>46113.593831018516</v>
      </c>
      <c r="H90" s="759" t="s">
        <v>284</v>
      </c>
    </row>
    <row r="91" spans="1:8">
      <c r="A91" s="759" t="s">
        <v>1317</v>
      </c>
      <c r="B91" s="500" t="s">
        <v>1205</v>
      </c>
      <c r="C91" s="759" t="s">
        <v>1209</v>
      </c>
      <c r="D91" s="759" t="s">
        <v>1210</v>
      </c>
      <c r="E91" s="500" t="s">
        <v>726</v>
      </c>
      <c r="F91" s="500" t="s">
        <v>726</v>
      </c>
      <c r="G91" s="501">
        <v>46113.593831018516</v>
      </c>
      <c r="H91" s="759" t="s">
        <v>284</v>
      </c>
    </row>
    <row r="92" spans="1:8">
      <c r="A92" s="500" t="s">
        <v>1318</v>
      </c>
      <c r="B92" s="500" t="s">
        <v>1205</v>
      </c>
      <c r="C92" s="759" t="s">
        <v>1206</v>
      </c>
      <c r="D92" s="759" t="s">
        <v>1207</v>
      </c>
      <c r="E92" s="500" t="s">
        <v>726</v>
      </c>
      <c r="F92" s="500" t="s">
        <v>726</v>
      </c>
      <c r="G92" s="501">
        <v>46113.593831018516</v>
      </c>
      <c r="H92" s="759" t="s">
        <v>284</v>
      </c>
    </row>
    <row r="93" spans="1:8">
      <c r="A93" s="759" t="s">
        <v>1319</v>
      </c>
      <c r="B93" s="500" t="s">
        <v>1205</v>
      </c>
      <c r="C93" s="759" t="s">
        <v>1209</v>
      </c>
      <c r="D93" s="759" t="s">
        <v>1210</v>
      </c>
      <c r="E93" s="500" t="s">
        <v>726</v>
      </c>
      <c r="F93" s="500" t="s">
        <v>726</v>
      </c>
      <c r="G93" s="501">
        <v>46113.593831018516</v>
      </c>
      <c r="H93" s="759" t="s">
        <v>284</v>
      </c>
    </row>
    <row r="94" spans="1:8">
      <c r="A94" s="759" t="s">
        <v>137</v>
      </c>
      <c r="B94" s="500" t="s">
        <v>1320</v>
      </c>
      <c r="C94" s="759" t="s">
        <v>1209</v>
      </c>
      <c r="D94" s="759" t="s">
        <v>1210</v>
      </c>
      <c r="E94" s="500" t="s">
        <v>726</v>
      </c>
      <c r="F94" s="500" t="s">
        <v>726</v>
      </c>
      <c r="G94" s="501">
        <v>46113.593831018516</v>
      </c>
      <c r="H94" s="759" t="s">
        <v>284</v>
      </c>
    </row>
    <row r="95" spans="1:8">
      <c r="A95" s="500" t="s">
        <v>1321</v>
      </c>
      <c r="B95" s="500" t="s">
        <v>1205</v>
      </c>
      <c r="C95" s="759" t="s">
        <v>1206</v>
      </c>
      <c r="D95" s="759" t="s">
        <v>1207</v>
      </c>
      <c r="E95" s="500" t="s">
        <v>726</v>
      </c>
      <c r="F95" s="500" t="s">
        <v>726</v>
      </c>
      <c r="G95" s="501">
        <v>46113.593831018516</v>
      </c>
      <c r="H95" s="759" t="s">
        <v>284</v>
      </c>
    </row>
    <row r="96" spans="1:8">
      <c r="A96" s="759" t="s">
        <v>1322</v>
      </c>
      <c r="B96" s="500" t="s">
        <v>1205</v>
      </c>
      <c r="C96" s="759" t="s">
        <v>1209</v>
      </c>
      <c r="D96" s="759" t="s">
        <v>1210</v>
      </c>
      <c r="E96" s="500" t="s">
        <v>726</v>
      </c>
      <c r="F96" s="500" t="s">
        <v>726</v>
      </c>
      <c r="G96" s="501">
        <v>46113.593831018516</v>
      </c>
      <c r="H96" s="759" t="s">
        <v>284</v>
      </c>
    </row>
    <row r="97" spans="1:8">
      <c r="A97" s="759" t="s">
        <v>1323</v>
      </c>
      <c r="B97" s="500" t="s">
        <v>1324</v>
      </c>
      <c r="C97" s="759" t="s">
        <v>1209</v>
      </c>
      <c r="D97" s="759" t="s">
        <v>1210</v>
      </c>
      <c r="E97" s="500" t="s">
        <v>726</v>
      </c>
      <c r="F97" s="500" t="s">
        <v>726</v>
      </c>
      <c r="G97" s="501">
        <v>46113.593831018516</v>
      </c>
      <c r="H97" s="759" t="s">
        <v>284</v>
      </c>
    </row>
    <row r="98" spans="1:8">
      <c r="A98" s="500" t="s">
        <v>1325</v>
      </c>
      <c r="B98" s="500" t="s">
        <v>1205</v>
      </c>
      <c r="C98" s="759" t="s">
        <v>1206</v>
      </c>
      <c r="D98" s="759" t="s">
        <v>1207</v>
      </c>
      <c r="E98" s="500" t="s">
        <v>726</v>
      </c>
      <c r="F98" s="500" t="s">
        <v>726</v>
      </c>
      <c r="G98" s="501">
        <v>46113.593831018516</v>
      </c>
      <c r="H98" s="759" t="s">
        <v>284</v>
      </c>
    </row>
    <row r="99" spans="1:8">
      <c r="A99" s="759" t="s">
        <v>1326</v>
      </c>
      <c r="B99" s="500" t="s">
        <v>1205</v>
      </c>
      <c r="C99" s="759" t="s">
        <v>1209</v>
      </c>
      <c r="D99" s="759" t="s">
        <v>1210</v>
      </c>
      <c r="E99" s="500" t="s">
        <v>726</v>
      </c>
      <c r="F99" s="500" t="s">
        <v>726</v>
      </c>
      <c r="G99" s="501">
        <v>46113.593831018516</v>
      </c>
      <c r="H99" s="759" t="s">
        <v>284</v>
      </c>
    </row>
    <row r="100" spans="1:8">
      <c r="A100" s="500" t="s">
        <v>1327</v>
      </c>
      <c r="B100" s="500" t="s">
        <v>1205</v>
      </c>
      <c r="C100" s="759" t="s">
        <v>1206</v>
      </c>
      <c r="D100" s="759" t="s">
        <v>1207</v>
      </c>
      <c r="E100" s="500" t="s">
        <v>726</v>
      </c>
      <c r="F100" s="500" t="s">
        <v>726</v>
      </c>
      <c r="G100" s="501">
        <v>46113.593831018516</v>
      </c>
      <c r="H100" s="759" t="s">
        <v>284</v>
      </c>
    </row>
    <row r="101" spans="1:8">
      <c r="A101" s="759" t="s">
        <v>1328</v>
      </c>
      <c r="B101" s="500" t="s">
        <v>1205</v>
      </c>
      <c r="C101" s="759" t="s">
        <v>1209</v>
      </c>
      <c r="D101" s="759" t="s">
        <v>1210</v>
      </c>
      <c r="E101" s="500" t="s">
        <v>726</v>
      </c>
      <c r="F101" s="500" t="s">
        <v>726</v>
      </c>
      <c r="G101" s="501">
        <v>46113.593831018516</v>
      </c>
      <c r="H101" s="759" t="s">
        <v>284</v>
      </c>
    </row>
    <row r="102" spans="1:8">
      <c r="A102" s="500" t="s">
        <v>1329</v>
      </c>
      <c r="B102" s="500" t="s">
        <v>1205</v>
      </c>
      <c r="C102" s="759" t="s">
        <v>1206</v>
      </c>
      <c r="D102" s="759" t="s">
        <v>1207</v>
      </c>
      <c r="E102" s="500" t="s">
        <v>726</v>
      </c>
      <c r="F102" s="500" t="s">
        <v>726</v>
      </c>
      <c r="G102" s="501">
        <v>46113.593831018516</v>
      </c>
      <c r="H102" s="759" t="s">
        <v>284</v>
      </c>
    </row>
    <row r="103" spans="1:8">
      <c r="A103" s="759" t="s">
        <v>1330</v>
      </c>
      <c r="B103" s="500" t="s">
        <v>1205</v>
      </c>
      <c r="C103" s="759" t="s">
        <v>1209</v>
      </c>
      <c r="D103" s="759" t="s">
        <v>1210</v>
      </c>
      <c r="E103" s="500" t="s">
        <v>726</v>
      </c>
      <c r="F103" s="500" t="s">
        <v>726</v>
      </c>
      <c r="G103" s="501">
        <v>46113.593831018516</v>
      </c>
      <c r="H103" s="759" t="s">
        <v>284</v>
      </c>
    </row>
    <row r="104" spans="1:8">
      <c r="A104" s="500" t="s">
        <v>1331</v>
      </c>
      <c r="B104" s="500" t="s">
        <v>1205</v>
      </c>
      <c r="C104" s="759" t="s">
        <v>1206</v>
      </c>
      <c r="D104" s="759" t="s">
        <v>1207</v>
      </c>
      <c r="E104" s="500" t="s">
        <v>726</v>
      </c>
      <c r="F104" s="500" t="s">
        <v>726</v>
      </c>
      <c r="G104" s="501">
        <v>46113.593831018516</v>
      </c>
      <c r="H104" s="759" t="s">
        <v>284</v>
      </c>
    </row>
    <row r="105" spans="1:8">
      <c r="A105" s="759" t="s">
        <v>1332</v>
      </c>
      <c r="B105" s="500" t="s">
        <v>1205</v>
      </c>
      <c r="C105" s="759" t="s">
        <v>1209</v>
      </c>
      <c r="D105" s="759" t="s">
        <v>1210</v>
      </c>
      <c r="E105" s="500" t="s">
        <v>726</v>
      </c>
      <c r="F105" s="500" t="s">
        <v>726</v>
      </c>
      <c r="G105" s="501">
        <v>46113.593831018516</v>
      </c>
      <c r="H105" s="759" t="s">
        <v>284</v>
      </c>
    </row>
    <row r="106" spans="1:8">
      <c r="A106" s="500" t="s">
        <v>1333</v>
      </c>
      <c r="B106" s="500" t="s">
        <v>1205</v>
      </c>
      <c r="C106" s="759" t="s">
        <v>1206</v>
      </c>
      <c r="D106" s="759" t="s">
        <v>1207</v>
      </c>
      <c r="E106" s="500" t="s">
        <v>726</v>
      </c>
      <c r="F106" s="500" t="s">
        <v>726</v>
      </c>
      <c r="G106" s="501">
        <v>46113.593831018516</v>
      </c>
      <c r="H106" s="759" t="s">
        <v>284</v>
      </c>
    </row>
    <row r="107" spans="1:8">
      <c r="A107" s="759" t="s">
        <v>1334</v>
      </c>
      <c r="B107" s="500" t="s">
        <v>1205</v>
      </c>
      <c r="C107" s="759" t="s">
        <v>1209</v>
      </c>
      <c r="D107" s="759" t="s">
        <v>1210</v>
      </c>
      <c r="E107" s="500" t="s">
        <v>726</v>
      </c>
      <c r="F107" s="500" t="s">
        <v>726</v>
      </c>
      <c r="G107" s="501">
        <v>46113.593831018516</v>
      </c>
      <c r="H107" s="759" t="s">
        <v>284</v>
      </c>
    </row>
    <row r="108" spans="1:8">
      <c r="A108" s="500" t="s">
        <v>1335</v>
      </c>
      <c r="B108" s="500" t="s">
        <v>1205</v>
      </c>
      <c r="C108" s="759" t="s">
        <v>1206</v>
      </c>
      <c r="D108" s="759" t="s">
        <v>1207</v>
      </c>
      <c r="E108" s="500" t="s">
        <v>726</v>
      </c>
      <c r="F108" s="500" t="s">
        <v>726</v>
      </c>
      <c r="G108" s="501">
        <v>46113.593831018516</v>
      </c>
      <c r="H108" s="759" t="s">
        <v>284</v>
      </c>
    </row>
    <row r="109" spans="1:8">
      <c r="A109" s="759" t="s">
        <v>1336</v>
      </c>
      <c r="B109" s="500" t="s">
        <v>1205</v>
      </c>
      <c r="C109" s="759" t="s">
        <v>1209</v>
      </c>
      <c r="D109" s="759" t="s">
        <v>1210</v>
      </c>
      <c r="E109" s="500" t="s">
        <v>726</v>
      </c>
      <c r="F109" s="500" t="s">
        <v>726</v>
      </c>
      <c r="G109" s="501">
        <v>46113.593831018516</v>
      </c>
      <c r="H109" s="759" t="s">
        <v>284</v>
      </c>
    </row>
    <row r="110" spans="1:8">
      <c r="A110" s="500" t="s">
        <v>1337</v>
      </c>
      <c r="B110" s="500" t="s">
        <v>1205</v>
      </c>
      <c r="C110" s="759" t="s">
        <v>1206</v>
      </c>
      <c r="D110" s="759" t="s">
        <v>1207</v>
      </c>
      <c r="E110" s="500" t="s">
        <v>726</v>
      </c>
      <c r="F110" s="500" t="s">
        <v>726</v>
      </c>
      <c r="G110" s="501">
        <v>46113.593831018516</v>
      </c>
      <c r="H110" s="759" t="s">
        <v>284</v>
      </c>
    </row>
    <row r="111" spans="1:8">
      <c r="A111" s="759" t="s">
        <v>1338</v>
      </c>
      <c r="B111" s="500" t="s">
        <v>1205</v>
      </c>
      <c r="C111" s="759" t="s">
        <v>1209</v>
      </c>
      <c r="D111" s="759" t="s">
        <v>1210</v>
      </c>
      <c r="E111" s="500" t="s">
        <v>726</v>
      </c>
      <c r="F111" s="500" t="s">
        <v>726</v>
      </c>
      <c r="G111" s="501">
        <v>46113.593831018516</v>
      </c>
      <c r="H111" s="759" t="s">
        <v>284</v>
      </c>
    </row>
    <row r="112" spans="1:8">
      <c r="A112" s="500" t="s">
        <v>1339</v>
      </c>
      <c r="B112" s="500" t="s">
        <v>1205</v>
      </c>
      <c r="C112" s="759" t="s">
        <v>1206</v>
      </c>
      <c r="D112" s="759" t="s">
        <v>1207</v>
      </c>
      <c r="E112" s="500" t="s">
        <v>726</v>
      </c>
      <c r="F112" s="500" t="s">
        <v>726</v>
      </c>
      <c r="G112" s="501">
        <v>46113.593831018516</v>
      </c>
      <c r="H112" s="759" t="s">
        <v>284</v>
      </c>
    </row>
    <row r="113" spans="1:8">
      <c r="A113" s="759" t="s">
        <v>1340</v>
      </c>
      <c r="B113" s="500" t="s">
        <v>1205</v>
      </c>
      <c r="C113" s="759" t="s">
        <v>1209</v>
      </c>
      <c r="D113" s="759" t="s">
        <v>1210</v>
      </c>
      <c r="E113" s="500" t="s">
        <v>726</v>
      </c>
      <c r="F113" s="500" t="s">
        <v>726</v>
      </c>
      <c r="G113" s="501">
        <v>46113.593842592592</v>
      </c>
      <c r="H113" s="759" t="s">
        <v>284</v>
      </c>
    </row>
    <row r="114" spans="1:8">
      <c r="A114" s="500" t="s">
        <v>1341</v>
      </c>
      <c r="B114" s="500" t="s">
        <v>1205</v>
      </c>
      <c r="C114" s="759" t="s">
        <v>1206</v>
      </c>
      <c r="D114" s="759" t="s">
        <v>1207</v>
      </c>
      <c r="E114" s="500" t="s">
        <v>726</v>
      </c>
      <c r="F114" s="500" t="s">
        <v>726</v>
      </c>
      <c r="G114" s="501">
        <v>46113.593842592592</v>
      </c>
      <c r="H114" s="759" t="s">
        <v>284</v>
      </c>
    </row>
    <row r="115" spans="1:8">
      <c r="A115" s="759" t="s">
        <v>1342</v>
      </c>
      <c r="B115" s="500" t="s">
        <v>1205</v>
      </c>
      <c r="C115" s="759" t="s">
        <v>1209</v>
      </c>
      <c r="D115" s="759" t="s">
        <v>1210</v>
      </c>
      <c r="E115" s="500" t="s">
        <v>726</v>
      </c>
      <c r="F115" s="500" t="s">
        <v>726</v>
      </c>
      <c r="G115" s="501">
        <v>46113.593842592592</v>
      </c>
      <c r="H115" s="759" t="s">
        <v>284</v>
      </c>
    </row>
    <row r="116" spans="1:8">
      <c r="A116" s="500" t="s">
        <v>1343</v>
      </c>
      <c r="B116" s="500" t="s">
        <v>1205</v>
      </c>
      <c r="C116" s="759" t="s">
        <v>1206</v>
      </c>
      <c r="D116" s="759" t="s">
        <v>1207</v>
      </c>
      <c r="E116" s="500" t="s">
        <v>726</v>
      </c>
      <c r="F116" s="500" t="s">
        <v>726</v>
      </c>
      <c r="G116" s="501">
        <v>46113.593842592592</v>
      </c>
      <c r="H116" s="759" t="s">
        <v>284</v>
      </c>
    </row>
    <row r="117" spans="1:8">
      <c r="A117" s="759" t="s">
        <v>1344</v>
      </c>
      <c r="B117" s="500" t="s">
        <v>1205</v>
      </c>
      <c r="C117" s="759" t="s">
        <v>1209</v>
      </c>
      <c r="D117" s="759" t="s">
        <v>1210</v>
      </c>
      <c r="E117" s="500" t="s">
        <v>726</v>
      </c>
      <c r="F117" s="500" t="s">
        <v>726</v>
      </c>
      <c r="G117" s="501">
        <v>46113.593842592592</v>
      </c>
      <c r="H117" s="759" t="s">
        <v>284</v>
      </c>
    </row>
    <row r="118" spans="1:8">
      <c r="A118" s="759" t="s">
        <v>1345</v>
      </c>
      <c r="B118" s="500" t="s">
        <v>1346</v>
      </c>
      <c r="C118" s="759" t="s">
        <v>1209</v>
      </c>
      <c r="D118" s="759" t="s">
        <v>1210</v>
      </c>
      <c r="E118" s="500" t="s">
        <v>726</v>
      </c>
      <c r="F118" s="500" t="s">
        <v>726</v>
      </c>
      <c r="G118" s="501">
        <v>46113.593842592592</v>
      </c>
      <c r="H118" s="759" t="s">
        <v>284</v>
      </c>
    </row>
    <row r="119" spans="1:8">
      <c r="A119" s="759" t="s">
        <v>1347</v>
      </c>
      <c r="B119" s="500" t="s">
        <v>1348</v>
      </c>
      <c r="C119" s="759" t="s">
        <v>1209</v>
      </c>
      <c r="D119" s="759" t="s">
        <v>1210</v>
      </c>
      <c r="E119" s="500" t="s">
        <v>726</v>
      </c>
      <c r="F119" s="500" t="s">
        <v>726</v>
      </c>
      <c r="G119" s="501">
        <v>46113.593842592592</v>
      </c>
      <c r="H119" s="759" t="s">
        <v>284</v>
      </c>
    </row>
    <row r="120" spans="1:8">
      <c r="A120" s="759" t="s">
        <v>1349</v>
      </c>
      <c r="B120" s="500" t="s">
        <v>1350</v>
      </c>
      <c r="C120" s="759" t="s">
        <v>1209</v>
      </c>
      <c r="D120" s="759" t="s">
        <v>1210</v>
      </c>
      <c r="E120" s="500" t="s">
        <v>726</v>
      </c>
      <c r="F120" s="500" t="s">
        <v>726</v>
      </c>
      <c r="G120" s="501">
        <v>46113.593842592592</v>
      </c>
      <c r="H120" s="759" t="s">
        <v>284</v>
      </c>
    </row>
    <row r="121" spans="1:8">
      <c r="A121" s="500" t="s">
        <v>1351</v>
      </c>
      <c r="B121" s="500" t="s">
        <v>1205</v>
      </c>
      <c r="C121" s="759" t="s">
        <v>1206</v>
      </c>
      <c r="D121" s="759" t="s">
        <v>1207</v>
      </c>
      <c r="E121" s="500" t="s">
        <v>726</v>
      </c>
      <c r="F121" s="500" t="s">
        <v>726</v>
      </c>
      <c r="G121" s="501">
        <v>46113.593842592592</v>
      </c>
      <c r="H121" s="759" t="s">
        <v>284</v>
      </c>
    </row>
    <row r="122" spans="1:8">
      <c r="A122" s="759" t="s">
        <v>1352</v>
      </c>
      <c r="B122" s="500" t="s">
        <v>1205</v>
      </c>
      <c r="C122" s="759" t="s">
        <v>1209</v>
      </c>
      <c r="D122" s="759" t="s">
        <v>1210</v>
      </c>
      <c r="E122" s="500" t="s">
        <v>726</v>
      </c>
      <c r="F122" s="500" t="s">
        <v>726</v>
      </c>
      <c r="G122" s="501">
        <v>46113.593842592592</v>
      </c>
      <c r="H122" s="759" t="s">
        <v>284</v>
      </c>
    </row>
    <row r="123" spans="1:8">
      <c r="A123" s="500" t="s">
        <v>1353</v>
      </c>
      <c r="B123" s="500" t="s">
        <v>1205</v>
      </c>
      <c r="C123" s="759" t="s">
        <v>1206</v>
      </c>
      <c r="D123" s="759" t="s">
        <v>1207</v>
      </c>
      <c r="E123" s="500" t="s">
        <v>726</v>
      </c>
      <c r="F123" s="500" t="s">
        <v>726</v>
      </c>
      <c r="G123" s="501">
        <v>46113.593842592592</v>
      </c>
      <c r="H123" s="759" t="s">
        <v>284</v>
      </c>
    </row>
    <row r="124" spans="1:8">
      <c r="A124" s="759" t="s">
        <v>1354</v>
      </c>
      <c r="B124" s="500" t="s">
        <v>1205</v>
      </c>
      <c r="C124" s="759" t="s">
        <v>1209</v>
      </c>
      <c r="D124" s="759" t="s">
        <v>1210</v>
      </c>
      <c r="E124" s="500" t="s">
        <v>726</v>
      </c>
      <c r="F124" s="500" t="s">
        <v>726</v>
      </c>
      <c r="G124" s="501">
        <v>46113.593842592592</v>
      </c>
      <c r="H124" s="759" t="s">
        <v>284</v>
      </c>
    </row>
    <row r="125" spans="1:8">
      <c r="A125" s="759" t="s">
        <v>1355</v>
      </c>
      <c r="B125" s="500" t="s">
        <v>1356</v>
      </c>
      <c r="C125" s="759" t="s">
        <v>1209</v>
      </c>
      <c r="D125" s="759" t="s">
        <v>1210</v>
      </c>
      <c r="E125" s="500" t="s">
        <v>726</v>
      </c>
      <c r="F125" s="500" t="s">
        <v>726</v>
      </c>
      <c r="G125" s="501">
        <v>46113.593842592592</v>
      </c>
      <c r="H125" s="759" t="s">
        <v>284</v>
      </c>
    </row>
    <row r="126" spans="1:8">
      <c r="A126" s="759" t="s">
        <v>1357</v>
      </c>
      <c r="B126" s="500" t="s">
        <v>1358</v>
      </c>
      <c r="C126" s="759" t="s">
        <v>1209</v>
      </c>
      <c r="D126" s="759" t="s">
        <v>1210</v>
      </c>
      <c r="E126" s="500" t="s">
        <v>726</v>
      </c>
      <c r="F126" s="500" t="s">
        <v>726</v>
      </c>
      <c r="G126" s="501">
        <v>46113.593842592592</v>
      </c>
      <c r="H126" s="759" t="s">
        <v>284</v>
      </c>
    </row>
    <row r="127" spans="1:8">
      <c r="A127" s="759" t="s">
        <v>1359</v>
      </c>
      <c r="B127" s="500" t="s">
        <v>1360</v>
      </c>
      <c r="C127" s="759" t="s">
        <v>1209</v>
      </c>
      <c r="D127" s="759" t="s">
        <v>1210</v>
      </c>
      <c r="E127" s="500" t="s">
        <v>726</v>
      </c>
      <c r="F127" s="500" t="s">
        <v>726</v>
      </c>
      <c r="G127" s="501">
        <v>46113.593842592592</v>
      </c>
      <c r="H127" s="759" t="s">
        <v>284</v>
      </c>
    </row>
    <row r="128" spans="1:8">
      <c r="A128" s="759" t="s">
        <v>1361</v>
      </c>
      <c r="B128" s="500" t="s">
        <v>1362</v>
      </c>
      <c r="C128" s="759" t="s">
        <v>1209</v>
      </c>
      <c r="D128" s="759" t="s">
        <v>1210</v>
      </c>
      <c r="E128" s="500" t="s">
        <v>726</v>
      </c>
      <c r="F128" s="500" t="s">
        <v>726</v>
      </c>
      <c r="G128" s="501">
        <v>46113.593842592592</v>
      </c>
      <c r="H128" s="759" t="s">
        <v>284</v>
      </c>
    </row>
    <row r="129" spans="1:8">
      <c r="A129" s="759" t="s">
        <v>1363</v>
      </c>
      <c r="B129" s="500" t="s">
        <v>1364</v>
      </c>
      <c r="C129" s="759" t="s">
        <v>1209</v>
      </c>
      <c r="D129" s="759" t="s">
        <v>1210</v>
      </c>
      <c r="E129" s="500" t="s">
        <v>726</v>
      </c>
      <c r="F129" s="500" t="s">
        <v>726</v>
      </c>
      <c r="G129" s="501">
        <v>46113.593842592592</v>
      </c>
      <c r="H129" s="759" t="s">
        <v>284</v>
      </c>
    </row>
    <row r="130" spans="1:8">
      <c r="A130" s="500" t="s">
        <v>1365</v>
      </c>
      <c r="B130" s="500" t="s">
        <v>1366</v>
      </c>
      <c r="C130" s="759" t="s">
        <v>1206</v>
      </c>
      <c r="D130" s="759" t="s">
        <v>1207</v>
      </c>
      <c r="E130" s="500" t="s">
        <v>726</v>
      </c>
      <c r="F130" s="500" t="s">
        <v>726</v>
      </c>
      <c r="G130" s="501">
        <v>46113.593842592592</v>
      </c>
      <c r="H130" s="759" t="s">
        <v>284</v>
      </c>
    </row>
    <row r="131" spans="1:8">
      <c r="A131" s="759" t="s">
        <v>1367</v>
      </c>
      <c r="B131" s="500" t="s">
        <v>1366</v>
      </c>
      <c r="C131" s="759" t="s">
        <v>1209</v>
      </c>
      <c r="D131" s="759" t="s">
        <v>1210</v>
      </c>
      <c r="E131" s="500" t="s">
        <v>726</v>
      </c>
      <c r="F131" s="500" t="s">
        <v>726</v>
      </c>
      <c r="G131" s="501">
        <v>46113.593842592592</v>
      </c>
      <c r="H131" s="759" t="s">
        <v>284</v>
      </c>
    </row>
    <row r="132" spans="1:8">
      <c r="A132" s="500" t="s">
        <v>1368</v>
      </c>
      <c r="B132" s="500" t="s">
        <v>1205</v>
      </c>
      <c r="C132" s="759" t="s">
        <v>1206</v>
      </c>
      <c r="D132" s="759" t="s">
        <v>1207</v>
      </c>
      <c r="E132" s="500" t="s">
        <v>726</v>
      </c>
      <c r="F132" s="500" t="s">
        <v>726</v>
      </c>
      <c r="G132" s="501">
        <v>46113.593842592592</v>
      </c>
      <c r="H132" s="759" t="s">
        <v>284</v>
      </c>
    </row>
    <row r="133" spans="1:8">
      <c r="A133" s="759" t="s">
        <v>1369</v>
      </c>
      <c r="B133" s="500" t="s">
        <v>1205</v>
      </c>
      <c r="C133" s="759" t="s">
        <v>1209</v>
      </c>
      <c r="D133" s="759" t="s">
        <v>1210</v>
      </c>
      <c r="E133" s="500" t="s">
        <v>726</v>
      </c>
      <c r="F133" s="500" t="s">
        <v>726</v>
      </c>
      <c r="G133" s="501">
        <v>46113.593842592592</v>
      </c>
      <c r="H133" s="759" t="s">
        <v>284</v>
      </c>
    </row>
    <row r="134" spans="1:8">
      <c r="A134" s="500" t="s">
        <v>1370</v>
      </c>
      <c r="B134" s="500" t="s">
        <v>1205</v>
      </c>
      <c r="C134" s="759" t="s">
        <v>1206</v>
      </c>
      <c r="D134" s="759" t="s">
        <v>1207</v>
      </c>
      <c r="E134" s="500" t="s">
        <v>726</v>
      </c>
      <c r="F134" s="500" t="s">
        <v>726</v>
      </c>
      <c r="G134" s="501">
        <v>46113.593842592592</v>
      </c>
      <c r="H134" s="759" t="s">
        <v>284</v>
      </c>
    </row>
    <row r="135" spans="1:8">
      <c r="A135" s="759" t="s">
        <v>1371</v>
      </c>
      <c r="B135" s="500" t="s">
        <v>1205</v>
      </c>
      <c r="C135" s="759" t="s">
        <v>1209</v>
      </c>
      <c r="D135" s="759" t="s">
        <v>1210</v>
      </c>
      <c r="E135" s="500" t="s">
        <v>726</v>
      </c>
      <c r="F135" s="500" t="s">
        <v>726</v>
      </c>
      <c r="G135" s="501">
        <v>46113.593842592592</v>
      </c>
      <c r="H135" s="759" t="s">
        <v>284</v>
      </c>
    </row>
    <row r="136" spans="1:8">
      <c r="A136" s="500" t="s">
        <v>1372</v>
      </c>
      <c r="B136" s="500" t="s">
        <v>1205</v>
      </c>
      <c r="C136" s="759" t="s">
        <v>1206</v>
      </c>
      <c r="D136" s="759" t="s">
        <v>1207</v>
      </c>
      <c r="E136" s="500" t="s">
        <v>726</v>
      </c>
      <c r="F136" s="500" t="s">
        <v>726</v>
      </c>
      <c r="G136" s="501">
        <v>46113.593842592592</v>
      </c>
      <c r="H136" s="759" t="s">
        <v>284</v>
      </c>
    </row>
    <row r="137" spans="1:8">
      <c r="A137" s="759" t="s">
        <v>1373</v>
      </c>
      <c r="B137" s="500" t="s">
        <v>1205</v>
      </c>
      <c r="C137" s="759" t="s">
        <v>1209</v>
      </c>
      <c r="D137" s="759" t="s">
        <v>1210</v>
      </c>
      <c r="E137" s="500" t="s">
        <v>726</v>
      </c>
      <c r="F137" s="500" t="s">
        <v>726</v>
      </c>
      <c r="G137" s="501">
        <v>46113.593842592592</v>
      </c>
      <c r="H137" s="759" t="s">
        <v>284</v>
      </c>
    </row>
    <row r="138" spans="1:8">
      <c r="A138" s="500" t="s">
        <v>1374</v>
      </c>
      <c r="B138" s="500" t="s">
        <v>1205</v>
      </c>
      <c r="C138" s="759" t="s">
        <v>1206</v>
      </c>
      <c r="D138" s="759" t="s">
        <v>1207</v>
      </c>
      <c r="E138" s="500" t="s">
        <v>726</v>
      </c>
      <c r="F138" s="500" t="s">
        <v>726</v>
      </c>
      <c r="G138" s="501">
        <v>46113.593842592592</v>
      </c>
      <c r="H138" s="759" t="s">
        <v>284</v>
      </c>
    </row>
    <row r="139" spans="1:8">
      <c r="A139" s="759" t="s">
        <v>1375</v>
      </c>
      <c r="B139" s="500" t="s">
        <v>1205</v>
      </c>
      <c r="C139" s="759" t="s">
        <v>1209</v>
      </c>
      <c r="D139" s="759" t="s">
        <v>1210</v>
      </c>
      <c r="E139" s="500" t="s">
        <v>726</v>
      </c>
      <c r="F139" s="500" t="s">
        <v>726</v>
      </c>
      <c r="G139" s="501">
        <v>46113.593842592592</v>
      </c>
      <c r="H139" s="759" t="s">
        <v>284</v>
      </c>
    </row>
    <row r="140" spans="1:8">
      <c r="A140" s="759" t="s">
        <v>576</v>
      </c>
      <c r="B140" s="500" t="s">
        <v>1376</v>
      </c>
      <c r="C140" s="759" t="s">
        <v>1209</v>
      </c>
      <c r="D140" s="759" t="s">
        <v>1210</v>
      </c>
      <c r="E140" s="500" t="s">
        <v>726</v>
      </c>
      <c r="F140" s="500" t="s">
        <v>726</v>
      </c>
      <c r="G140" s="501">
        <v>46113.593842592592</v>
      </c>
      <c r="H140" s="759" t="s">
        <v>284</v>
      </c>
    </row>
    <row r="141" spans="1:8">
      <c r="A141" s="759" t="s">
        <v>577</v>
      </c>
      <c r="B141" s="500" t="s">
        <v>1377</v>
      </c>
      <c r="C141" s="759" t="s">
        <v>1209</v>
      </c>
      <c r="D141" s="759" t="s">
        <v>1210</v>
      </c>
      <c r="E141" s="500" t="s">
        <v>726</v>
      </c>
      <c r="F141" s="500" t="s">
        <v>726</v>
      </c>
      <c r="G141" s="501">
        <v>46113.593842592592</v>
      </c>
      <c r="H141" s="759" t="s">
        <v>284</v>
      </c>
    </row>
    <row r="142" spans="1:8">
      <c r="A142" s="500" t="s">
        <v>1378</v>
      </c>
      <c r="B142" s="500" t="s">
        <v>1205</v>
      </c>
      <c r="C142" s="759" t="s">
        <v>1206</v>
      </c>
      <c r="D142" s="759" t="s">
        <v>1207</v>
      </c>
      <c r="E142" s="500" t="s">
        <v>726</v>
      </c>
      <c r="F142" s="500" t="s">
        <v>726</v>
      </c>
      <c r="G142" s="501">
        <v>46113.593842592592</v>
      </c>
      <c r="H142" s="759" t="s">
        <v>284</v>
      </c>
    </row>
    <row r="143" spans="1:8">
      <c r="A143" s="759" t="s">
        <v>1379</v>
      </c>
      <c r="B143" s="500" t="s">
        <v>1205</v>
      </c>
      <c r="C143" s="759" t="s">
        <v>1209</v>
      </c>
      <c r="D143" s="759" t="s">
        <v>1210</v>
      </c>
      <c r="E143" s="500" t="s">
        <v>726</v>
      </c>
      <c r="F143" s="500" t="s">
        <v>726</v>
      </c>
      <c r="G143" s="501">
        <v>46113.593842592592</v>
      </c>
      <c r="H143" s="759" t="s">
        <v>284</v>
      </c>
    </row>
    <row r="144" spans="1:8">
      <c r="A144" s="500" t="s">
        <v>1380</v>
      </c>
      <c r="B144" s="500" t="s">
        <v>1205</v>
      </c>
      <c r="C144" s="759" t="s">
        <v>1206</v>
      </c>
      <c r="D144" s="759" t="s">
        <v>1207</v>
      </c>
      <c r="E144" s="500" t="s">
        <v>726</v>
      </c>
      <c r="F144" s="500" t="s">
        <v>726</v>
      </c>
      <c r="G144" s="501">
        <v>46113.593842592592</v>
      </c>
      <c r="H144" s="759" t="s">
        <v>284</v>
      </c>
    </row>
    <row r="145" spans="1:8">
      <c r="A145" s="759" t="s">
        <v>1381</v>
      </c>
      <c r="B145" s="500" t="s">
        <v>1205</v>
      </c>
      <c r="C145" s="759" t="s">
        <v>1209</v>
      </c>
      <c r="D145" s="759" t="s">
        <v>1210</v>
      </c>
      <c r="E145" s="500" t="s">
        <v>726</v>
      </c>
      <c r="F145" s="500" t="s">
        <v>726</v>
      </c>
      <c r="G145" s="501">
        <v>46113.593842592592</v>
      </c>
      <c r="H145" s="759" t="s">
        <v>284</v>
      </c>
    </row>
    <row r="146" spans="1:8">
      <c r="A146" s="759" t="s">
        <v>866</v>
      </c>
      <c r="B146" s="500" t="s">
        <v>1382</v>
      </c>
      <c r="C146" s="759" t="s">
        <v>1209</v>
      </c>
      <c r="D146" s="759" t="s">
        <v>1210</v>
      </c>
      <c r="E146" s="500" t="s">
        <v>726</v>
      </c>
      <c r="F146" s="500" t="s">
        <v>726</v>
      </c>
      <c r="G146" s="501">
        <v>46113.593842592592</v>
      </c>
      <c r="H146" s="759" t="s">
        <v>284</v>
      </c>
    </row>
    <row r="147" spans="1:8">
      <c r="A147" s="759" t="s">
        <v>1383</v>
      </c>
      <c r="B147" s="500" t="s">
        <v>1384</v>
      </c>
      <c r="C147" s="759" t="s">
        <v>1209</v>
      </c>
      <c r="D147" s="759" t="s">
        <v>1210</v>
      </c>
      <c r="E147" s="500" t="s">
        <v>726</v>
      </c>
      <c r="F147" s="500" t="s">
        <v>726</v>
      </c>
      <c r="G147" s="501">
        <v>46113.593842592592</v>
      </c>
      <c r="H147" s="759" t="s">
        <v>284</v>
      </c>
    </row>
    <row r="148" spans="1:8">
      <c r="A148" s="759" t="s">
        <v>579</v>
      </c>
      <c r="B148" s="500" t="s">
        <v>1385</v>
      </c>
      <c r="C148" s="759" t="s">
        <v>1209</v>
      </c>
      <c r="D148" s="759" t="s">
        <v>1210</v>
      </c>
      <c r="E148" s="500" t="s">
        <v>726</v>
      </c>
      <c r="F148" s="500" t="s">
        <v>726</v>
      </c>
      <c r="G148" s="501">
        <v>46113.593842592592</v>
      </c>
      <c r="H148" s="759" t="s">
        <v>284</v>
      </c>
    </row>
    <row r="149" spans="1:8">
      <c r="A149" s="500" t="s">
        <v>1386</v>
      </c>
      <c r="B149" s="500" t="s">
        <v>1205</v>
      </c>
      <c r="C149" s="759" t="s">
        <v>1206</v>
      </c>
      <c r="D149" s="759" t="s">
        <v>1207</v>
      </c>
      <c r="E149" s="500" t="s">
        <v>726</v>
      </c>
      <c r="F149" s="500" t="s">
        <v>726</v>
      </c>
      <c r="G149" s="501">
        <v>46113.593842592592</v>
      </c>
      <c r="H149" s="759" t="s">
        <v>284</v>
      </c>
    </row>
    <row r="150" spans="1:8">
      <c r="A150" s="759" t="s">
        <v>1387</v>
      </c>
      <c r="B150" s="500" t="s">
        <v>1205</v>
      </c>
      <c r="C150" s="759" t="s">
        <v>1209</v>
      </c>
      <c r="D150" s="759" t="s">
        <v>1210</v>
      </c>
      <c r="E150" s="500" t="s">
        <v>726</v>
      </c>
      <c r="F150" s="500" t="s">
        <v>726</v>
      </c>
      <c r="G150" s="501">
        <v>46113.593842592592</v>
      </c>
      <c r="H150" s="759" t="s">
        <v>284</v>
      </c>
    </row>
    <row r="151" spans="1:8">
      <c r="A151" s="500" t="s">
        <v>1388</v>
      </c>
      <c r="B151" s="500" t="s">
        <v>1205</v>
      </c>
      <c r="C151" s="759" t="s">
        <v>1206</v>
      </c>
      <c r="D151" s="759" t="s">
        <v>1207</v>
      </c>
      <c r="E151" s="500" t="s">
        <v>726</v>
      </c>
      <c r="F151" s="500" t="s">
        <v>726</v>
      </c>
      <c r="G151" s="501">
        <v>46113.593842592592</v>
      </c>
      <c r="H151" s="759" t="s">
        <v>284</v>
      </c>
    </row>
    <row r="152" spans="1:8">
      <c r="A152" s="759" t="s">
        <v>1389</v>
      </c>
      <c r="B152" s="500" t="s">
        <v>1205</v>
      </c>
      <c r="C152" s="759" t="s">
        <v>1209</v>
      </c>
      <c r="D152" s="759" t="s">
        <v>1210</v>
      </c>
      <c r="E152" s="500" t="s">
        <v>726</v>
      </c>
      <c r="F152" s="500" t="s">
        <v>726</v>
      </c>
      <c r="G152" s="501">
        <v>46113.593842592592</v>
      </c>
      <c r="H152" s="759" t="s">
        <v>284</v>
      </c>
    </row>
    <row r="153" spans="1:8">
      <c r="A153" s="500" t="s">
        <v>1390</v>
      </c>
      <c r="B153" s="500" t="s">
        <v>1205</v>
      </c>
      <c r="C153" s="759" t="s">
        <v>1206</v>
      </c>
      <c r="D153" s="759" t="s">
        <v>1207</v>
      </c>
      <c r="E153" s="500" t="s">
        <v>726</v>
      </c>
      <c r="F153" s="500" t="s">
        <v>726</v>
      </c>
      <c r="G153" s="501">
        <v>46113.593842592592</v>
      </c>
      <c r="H153" s="759" t="s">
        <v>284</v>
      </c>
    </row>
    <row r="154" spans="1:8">
      <c r="A154" s="759" t="s">
        <v>1391</v>
      </c>
      <c r="B154" s="500" t="s">
        <v>1205</v>
      </c>
      <c r="C154" s="759" t="s">
        <v>1209</v>
      </c>
      <c r="D154" s="759" t="s">
        <v>1210</v>
      </c>
      <c r="E154" s="500" t="s">
        <v>726</v>
      </c>
      <c r="F154" s="500" t="s">
        <v>726</v>
      </c>
      <c r="G154" s="501">
        <v>46113.593842592592</v>
      </c>
      <c r="H154" s="759" t="s">
        <v>284</v>
      </c>
    </row>
    <row r="155" spans="1:8">
      <c r="A155" s="500" t="s">
        <v>1392</v>
      </c>
      <c r="B155" s="500" t="s">
        <v>1205</v>
      </c>
      <c r="C155" s="759" t="s">
        <v>1206</v>
      </c>
      <c r="D155" s="759" t="s">
        <v>1207</v>
      </c>
      <c r="E155" s="500" t="s">
        <v>726</v>
      </c>
      <c r="F155" s="500" t="s">
        <v>726</v>
      </c>
      <c r="G155" s="501">
        <v>46113.593842592592</v>
      </c>
      <c r="H155" s="759" t="s">
        <v>284</v>
      </c>
    </row>
    <row r="156" spans="1:8">
      <c r="A156" s="759" t="s">
        <v>1393</v>
      </c>
      <c r="B156" s="500" t="s">
        <v>1205</v>
      </c>
      <c r="C156" s="759" t="s">
        <v>1209</v>
      </c>
      <c r="D156" s="759" t="s">
        <v>1210</v>
      </c>
      <c r="E156" s="500" t="s">
        <v>726</v>
      </c>
      <c r="F156" s="500" t="s">
        <v>726</v>
      </c>
      <c r="G156" s="501">
        <v>46113.593842592592</v>
      </c>
      <c r="H156" s="759" t="s">
        <v>284</v>
      </c>
    </row>
    <row r="157" spans="1:8">
      <c r="A157" s="500" t="s">
        <v>1394</v>
      </c>
      <c r="B157" s="500" t="s">
        <v>1205</v>
      </c>
      <c r="C157" s="759" t="s">
        <v>1206</v>
      </c>
      <c r="D157" s="759" t="s">
        <v>1207</v>
      </c>
      <c r="E157" s="500" t="s">
        <v>726</v>
      </c>
      <c r="F157" s="500" t="s">
        <v>726</v>
      </c>
      <c r="G157" s="501">
        <v>46113.593842592592</v>
      </c>
      <c r="H157" s="759" t="s">
        <v>284</v>
      </c>
    </row>
    <row r="158" spans="1:8">
      <c r="A158" s="759" t="s">
        <v>1395</v>
      </c>
      <c r="B158" s="500" t="s">
        <v>1205</v>
      </c>
      <c r="C158" s="759" t="s">
        <v>1209</v>
      </c>
      <c r="D158" s="759" t="s">
        <v>1210</v>
      </c>
      <c r="E158" s="500" t="s">
        <v>726</v>
      </c>
      <c r="F158" s="500" t="s">
        <v>726</v>
      </c>
      <c r="G158" s="501">
        <v>46113.593842592592</v>
      </c>
      <c r="H158" s="759" t="s">
        <v>284</v>
      </c>
    </row>
    <row r="159" spans="1:8">
      <c r="A159" s="500" t="s">
        <v>1396</v>
      </c>
      <c r="B159" s="500" t="s">
        <v>1205</v>
      </c>
      <c r="C159" s="759" t="s">
        <v>1206</v>
      </c>
      <c r="D159" s="759" t="s">
        <v>1207</v>
      </c>
      <c r="E159" s="500" t="s">
        <v>726</v>
      </c>
      <c r="F159" s="500" t="s">
        <v>726</v>
      </c>
      <c r="G159" s="501">
        <v>46113.593842592592</v>
      </c>
      <c r="H159" s="759" t="s">
        <v>284</v>
      </c>
    </row>
    <row r="160" spans="1:8">
      <c r="A160" s="759" t="s">
        <v>1397</v>
      </c>
      <c r="B160" s="500" t="s">
        <v>1205</v>
      </c>
      <c r="C160" s="759" t="s">
        <v>1209</v>
      </c>
      <c r="D160" s="759" t="s">
        <v>1210</v>
      </c>
      <c r="E160" s="500" t="s">
        <v>726</v>
      </c>
      <c r="F160" s="500" t="s">
        <v>726</v>
      </c>
      <c r="G160" s="501">
        <v>46113.593842592592</v>
      </c>
      <c r="H160" s="759" t="s">
        <v>284</v>
      </c>
    </row>
    <row r="161" spans="1:8">
      <c r="A161" s="759" t="s">
        <v>1398</v>
      </c>
      <c r="B161" s="500" t="s">
        <v>1399</v>
      </c>
      <c r="C161" s="759" t="s">
        <v>1209</v>
      </c>
      <c r="D161" s="759" t="s">
        <v>1210</v>
      </c>
      <c r="E161" s="500" t="s">
        <v>726</v>
      </c>
      <c r="F161" s="500" t="s">
        <v>726</v>
      </c>
      <c r="G161" s="501">
        <v>46113.593842592592</v>
      </c>
      <c r="H161" s="759" t="s">
        <v>284</v>
      </c>
    </row>
    <row r="162" spans="1:8">
      <c r="A162" s="500" t="s">
        <v>1400</v>
      </c>
      <c r="B162" s="500" t="s">
        <v>1205</v>
      </c>
      <c r="C162" s="759" t="s">
        <v>1206</v>
      </c>
      <c r="D162" s="759" t="s">
        <v>1207</v>
      </c>
      <c r="E162" s="500" t="s">
        <v>726</v>
      </c>
      <c r="F162" s="500" t="s">
        <v>726</v>
      </c>
      <c r="G162" s="501">
        <v>46113.593842592592</v>
      </c>
      <c r="H162" s="759" t="s">
        <v>284</v>
      </c>
    </row>
    <row r="163" spans="1:8">
      <c r="A163" s="759" t="s">
        <v>1401</v>
      </c>
      <c r="B163" s="500" t="s">
        <v>1205</v>
      </c>
      <c r="C163" s="759" t="s">
        <v>1209</v>
      </c>
      <c r="D163" s="759" t="s">
        <v>1210</v>
      </c>
      <c r="E163" s="500" t="s">
        <v>726</v>
      </c>
      <c r="F163" s="500" t="s">
        <v>726</v>
      </c>
      <c r="G163" s="501">
        <v>46113.593842592592</v>
      </c>
      <c r="H163" s="759" t="s">
        <v>284</v>
      </c>
    </row>
    <row r="164" spans="1:8">
      <c r="A164" s="759" t="s">
        <v>581</v>
      </c>
      <c r="B164" s="500" t="s">
        <v>1402</v>
      </c>
      <c r="C164" s="759" t="s">
        <v>1209</v>
      </c>
      <c r="D164" s="759" t="s">
        <v>1210</v>
      </c>
      <c r="E164" s="500" t="s">
        <v>726</v>
      </c>
      <c r="F164" s="500" t="s">
        <v>726</v>
      </c>
      <c r="G164" s="501">
        <v>46113.593842592592</v>
      </c>
      <c r="H164" s="759" t="s">
        <v>284</v>
      </c>
    </row>
    <row r="165" spans="1:8">
      <c r="A165" s="759" t="s">
        <v>1403</v>
      </c>
      <c r="B165" s="500" t="s">
        <v>1404</v>
      </c>
      <c r="C165" s="759" t="s">
        <v>1209</v>
      </c>
      <c r="D165" s="759" t="s">
        <v>1210</v>
      </c>
      <c r="E165" s="500" t="s">
        <v>726</v>
      </c>
      <c r="F165" s="500" t="s">
        <v>726</v>
      </c>
      <c r="G165" s="501">
        <v>46113.593842592592</v>
      </c>
      <c r="H165" s="759" t="s">
        <v>284</v>
      </c>
    </row>
    <row r="166" spans="1:8">
      <c r="A166" s="500" t="s">
        <v>1405</v>
      </c>
      <c r="B166" s="500" t="s">
        <v>1205</v>
      </c>
      <c r="C166" s="759" t="s">
        <v>1206</v>
      </c>
      <c r="D166" s="759" t="s">
        <v>1207</v>
      </c>
      <c r="E166" s="500" t="s">
        <v>726</v>
      </c>
      <c r="F166" s="500" t="s">
        <v>726</v>
      </c>
      <c r="G166" s="501">
        <v>46113.593842592592</v>
      </c>
      <c r="H166" s="759" t="s">
        <v>284</v>
      </c>
    </row>
    <row r="167" spans="1:8">
      <c r="A167" s="759" t="s">
        <v>1406</v>
      </c>
      <c r="B167" s="500" t="s">
        <v>1205</v>
      </c>
      <c r="C167" s="759" t="s">
        <v>1209</v>
      </c>
      <c r="D167" s="759" t="s">
        <v>1210</v>
      </c>
      <c r="E167" s="500" t="s">
        <v>726</v>
      </c>
      <c r="F167" s="500" t="s">
        <v>726</v>
      </c>
      <c r="G167" s="501">
        <v>46113.593842592592</v>
      </c>
      <c r="H167" s="759" t="s">
        <v>284</v>
      </c>
    </row>
    <row r="168" spans="1:8">
      <c r="A168" s="500" t="s">
        <v>1407</v>
      </c>
      <c r="B168" s="500" t="s">
        <v>1205</v>
      </c>
      <c r="C168" s="759" t="s">
        <v>1206</v>
      </c>
      <c r="D168" s="759" t="s">
        <v>1207</v>
      </c>
      <c r="E168" s="500" t="s">
        <v>726</v>
      </c>
      <c r="F168" s="500" t="s">
        <v>726</v>
      </c>
      <c r="G168" s="501">
        <v>46113.593842592592</v>
      </c>
      <c r="H168" s="759" t="s">
        <v>284</v>
      </c>
    </row>
    <row r="169" spans="1:8">
      <c r="A169" s="759" t="s">
        <v>1408</v>
      </c>
      <c r="B169" s="500" t="s">
        <v>1205</v>
      </c>
      <c r="C169" s="759" t="s">
        <v>1209</v>
      </c>
      <c r="D169" s="759" t="s">
        <v>1210</v>
      </c>
      <c r="E169" s="500" t="s">
        <v>726</v>
      </c>
      <c r="F169" s="500" t="s">
        <v>726</v>
      </c>
      <c r="G169" s="501">
        <v>46113.593842592592</v>
      </c>
      <c r="H169" s="759" t="s">
        <v>284</v>
      </c>
    </row>
    <row r="170" spans="1:8">
      <c r="A170" s="500" t="s">
        <v>1409</v>
      </c>
      <c r="B170" s="500" t="s">
        <v>1205</v>
      </c>
      <c r="C170" s="759" t="s">
        <v>1206</v>
      </c>
      <c r="D170" s="759" t="s">
        <v>1207</v>
      </c>
      <c r="E170" s="500" t="s">
        <v>726</v>
      </c>
      <c r="F170" s="500" t="s">
        <v>726</v>
      </c>
      <c r="G170" s="501">
        <v>46113.593842592592</v>
      </c>
      <c r="H170" s="759" t="s">
        <v>284</v>
      </c>
    </row>
    <row r="171" spans="1:8">
      <c r="A171" s="759" t="s">
        <v>1410</v>
      </c>
      <c r="B171" s="500" t="s">
        <v>1205</v>
      </c>
      <c r="C171" s="759" t="s">
        <v>1209</v>
      </c>
      <c r="D171" s="759" t="s">
        <v>1210</v>
      </c>
      <c r="E171" s="500" t="s">
        <v>726</v>
      </c>
      <c r="F171" s="500" t="s">
        <v>726</v>
      </c>
      <c r="G171" s="501">
        <v>46113.593842592592</v>
      </c>
      <c r="H171" s="759" t="s">
        <v>284</v>
      </c>
    </row>
    <row r="172" spans="1:8">
      <c r="A172" s="500" t="s">
        <v>1411</v>
      </c>
      <c r="B172" s="500" t="s">
        <v>1205</v>
      </c>
      <c r="C172" s="759" t="s">
        <v>1206</v>
      </c>
      <c r="D172" s="759" t="s">
        <v>1207</v>
      </c>
      <c r="E172" s="500" t="s">
        <v>726</v>
      </c>
      <c r="F172" s="500" t="s">
        <v>726</v>
      </c>
      <c r="G172" s="501">
        <v>46113.593842592592</v>
      </c>
      <c r="H172" s="759" t="s">
        <v>284</v>
      </c>
    </row>
    <row r="173" spans="1:8">
      <c r="A173" s="759" t="s">
        <v>31</v>
      </c>
      <c r="B173" s="500" t="s">
        <v>1205</v>
      </c>
      <c r="C173" s="759" t="s">
        <v>1209</v>
      </c>
      <c r="D173" s="759" t="s">
        <v>1210</v>
      </c>
      <c r="E173" s="500" t="s">
        <v>726</v>
      </c>
      <c r="F173" s="500" t="s">
        <v>726</v>
      </c>
      <c r="G173" s="501">
        <v>46113.593842592592</v>
      </c>
      <c r="H173" s="759" t="s">
        <v>284</v>
      </c>
    </row>
    <row r="174" spans="1:8">
      <c r="A174" s="500" t="s">
        <v>1412</v>
      </c>
      <c r="B174" s="500" t="s">
        <v>1205</v>
      </c>
      <c r="C174" s="759" t="s">
        <v>1206</v>
      </c>
      <c r="D174" s="759" t="s">
        <v>1207</v>
      </c>
      <c r="E174" s="500" t="s">
        <v>726</v>
      </c>
      <c r="F174" s="500" t="s">
        <v>726</v>
      </c>
      <c r="G174" s="501">
        <v>46113.593842592592</v>
      </c>
      <c r="H174" s="759" t="s">
        <v>284</v>
      </c>
    </row>
    <row r="175" spans="1:8">
      <c r="A175" s="759" t="s">
        <v>1413</v>
      </c>
      <c r="B175" s="500" t="s">
        <v>1205</v>
      </c>
      <c r="C175" s="759" t="s">
        <v>1209</v>
      </c>
      <c r="D175" s="759" t="s">
        <v>1210</v>
      </c>
      <c r="E175" s="500" t="s">
        <v>726</v>
      </c>
      <c r="F175" s="500" t="s">
        <v>726</v>
      </c>
      <c r="G175" s="501">
        <v>46113.593842592592</v>
      </c>
      <c r="H175" s="759" t="s">
        <v>284</v>
      </c>
    </row>
    <row r="176" spans="1:8">
      <c r="A176" s="500" t="s">
        <v>1414</v>
      </c>
      <c r="B176" s="500" t="s">
        <v>1205</v>
      </c>
      <c r="C176" s="759" t="s">
        <v>1206</v>
      </c>
      <c r="D176" s="759" t="s">
        <v>1207</v>
      </c>
      <c r="E176" s="500" t="s">
        <v>726</v>
      </c>
      <c r="F176" s="500" t="s">
        <v>726</v>
      </c>
      <c r="G176" s="501">
        <v>46113.593842592592</v>
      </c>
      <c r="H176" s="759" t="s">
        <v>284</v>
      </c>
    </row>
    <row r="177" spans="1:8">
      <c r="A177" s="759" t="s">
        <v>1415</v>
      </c>
      <c r="B177" s="500" t="s">
        <v>1205</v>
      </c>
      <c r="C177" s="759" t="s">
        <v>1209</v>
      </c>
      <c r="D177" s="759" t="s">
        <v>1210</v>
      </c>
      <c r="E177" s="500" t="s">
        <v>726</v>
      </c>
      <c r="F177" s="500" t="s">
        <v>726</v>
      </c>
      <c r="G177" s="501">
        <v>46113.593842592592</v>
      </c>
      <c r="H177" s="759" t="s">
        <v>284</v>
      </c>
    </row>
    <row r="178" spans="1:8">
      <c r="A178" s="500" t="s">
        <v>1416</v>
      </c>
      <c r="B178" s="500" t="s">
        <v>1205</v>
      </c>
      <c r="C178" s="759" t="s">
        <v>1206</v>
      </c>
      <c r="D178" s="759" t="s">
        <v>1207</v>
      </c>
      <c r="E178" s="500" t="s">
        <v>726</v>
      </c>
      <c r="F178" s="500" t="s">
        <v>726</v>
      </c>
      <c r="G178" s="501">
        <v>46113.593854166669</v>
      </c>
      <c r="H178" s="759" t="s">
        <v>284</v>
      </c>
    </row>
    <row r="179" spans="1:8">
      <c r="A179" s="759" t="s">
        <v>1417</v>
      </c>
      <c r="B179" s="500" t="s">
        <v>1205</v>
      </c>
      <c r="C179" s="759" t="s">
        <v>1209</v>
      </c>
      <c r="D179" s="759" t="s">
        <v>1210</v>
      </c>
      <c r="E179" s="500" t="s">
        <v>726</v>
      </c>
      <c r="F179" s="500" t="s">
        <v>726</v>
      </c>
      <c r="G179" s="501">
        <v>46113.593854166669</v>
      </c>
      <c r="H179" s="759" t="s">
        <v>284</v>
      </c>
    </row>
    <row r="180" spans="1:8">
      <c r="A180" s="500" t="s">
        <v>1418</v>
      </c>
      <c r="B180" s="500" t="s">
        <v>1205</v>
      </c>
      <c r="C180" s="759" t="s">
        <v>1206</v>
      </c>
      <c r="D180" s="759" t="s">
        <v>1207</v>
      </c>
      <c r="E180" s="500" t="s">
        <v>726</v>
      </c>
      <c r="F180" s="500" t="s">
        <v>726</v>
      </c>
      <c r="G180" s="501">
        <v>46113.593854166669</v>
      </c>
      <c r="H180" s="759" t="s">
        <v>284</v>
      </c>
    </row>
    <row r="181" spans="1:8">
      <c r="A181" s="759" t="s">
        <v>1419</v>
      </c>
      <c r="B181" s="500" t="s">
        <v>1205</v>
      </c>
      <c r="C181" s="759" t="s">
        <v>1209</v>
      </c>
      <c r="D181" s="759" t="s">
        <v>1210</v>
      </c>
      <c r="E181" s="500" t="s">
        <v>726</v>
      </c>
      <c r="F181" s="500" t="s">
        <v>726</v>
      </c>
      <c r="G181" s="501">
        <v>46113.593854166669</v>
      </c>
      <c r="H181" s="759" t="s">
        <v>284</v>
      </c>
    </row>
    <row r="182" spans="1:8">
      <c r="A182" s="500" t="s">
        <v>1420</v>
      </c>
      <c r="B182" s="500" t="s">
        <v>1205</v>
      </c>
      <c r="C182" s="759" t="s">
        <v>1206</v>
      </c>
      <c r="D182" s="759" t="s">
        <v>1207</v>
      </c>
      <c r="E182" s="500" t="s">
        <v>726</v>
      </c>
      <c r="F182" s="500" t="s">
        <v>726</v>
      </c>
      <c r="G182" s="501">
        <v>46113.593854166669</v>
      </c>
      <c r="H182" s="759" t="s">
        <v>284</v>
      </c>
    </row>
    <row r="183" spans="1:8">
      <c r="A183" s="759" t="s">
        <v>1421</v>
      </c>
      <c r="B183" s="500" t="s">
        <v>1205</v>
      </c>
      <c r="C183" s="759" t="s">
        <v>1209</v>
      </c>
      <c r="D183" s="759" t="s">
        <v>1210</v>
      </c>
      <c r="E183" s="500" t="s">
        <v>726</v>
      </c>
      <c r="F183" s="500" t="s">
        <v>726</v>
      </c>
      <c r="G183" s="501">
        <v>46113.593854166669</v>
      </c>
      <c r="H183" s="759" t="s">
        <v>284</v>
      </c>
    </row>
    <row r="184" spans="1:8">
      <c r="A184" s="500" t="s">
        <v>1422</v>
      </c>
      <c r="B184" s="500" t="s">
        <v>1205</v>
      </c>
      <c r="C184" s="759" t="s">
        <v>1206</v>
      </c>
      <c r="D184" s="759" t="s">
        <v>1207</v>
      </c>
      <c r="E184" s="500" t="s">
        <v>726</v>
      </c>
      <c r="F184" s="500" t="s">
        <v>726</v>
      </c>
      <c r="G184" s="501">
        <v>46113.593854166669</v>
      </c>
      <c r="H184" s="759" t="s">
        <v>284</v>
      </c>
    </row>
    <row r="185" spans="1:8">
      <c r="A185" s="759" t="s">
        <v>1423</v>
      </c>
      <c r="B185" s="500" t="s">
        <v>1205</v>
      </c>
      <c r="C185" s="759" t="s">
        <v>1209</v>
      </c>
      <c r="D185" s="759" t="s">
        <v>1210</v>
      </c>
      <c r="E185" s="500" t="s">
        <v>726</v>
      </c>
      <c r="F185" s="500" t="s">
        <v>726</v>
      </c>
      <c r="G185" s="501">
        <v>46113.593854166669</v>
      </c>
      <c r="H185" s="759" t="s">
        <v>284</v>
      </c>
    </row>
    <row r="186" spans="1:8">
      <c r="A186" s="759" t="s">
        <v>1424</v>
      </c>
      <c r="B186" s="500" t="s">
        <v>1425</v>
      </c>
      <c r="C186" s="759" t="s">
        <v>1206</v>
      </c>
      <c r="D186" s="759" t="s">
        <v>28</v>
      </c>
      <c r="E186" s="500" t="s">
        <v>726</v>
      </c>
      <c r="F186" s="500" t="s">
        <v>726</v>
      </c>
      <c r="G186" s="501">
        <v>46113.593854166669</v>
      </c>
      <c r="H186" s="759" t="s">
        <v>284</v>
      </c>
    </row>
    <row r="187" spans="1:8">
      <c r="A187" s="759" t="s">
        <v>1426</v>
      </c>
      <c r="B187" s="500" t="s">
        <v>1427</v>
      </c>
      <c r="C187" s="759" t="s">
        <v>1206</v>
      </c>
      <c r="D187" s="759" t="s">
        <v>26</v>
      </c>
      <c r="E187" s="500" t="s">
        <v>726</v>
      </c>
      <c r="F187" s="500" t="s">
        <v>726</v>
      </c>
      <c r="G187" s="501">
        <v>46113.593854166669</v>
      </c>
      <c r="H187" s="759" t="s">
        <v>284</v>
      </c>
    </row>
    <row r="188" spans="1:8">
      <c r="A188" s="500" t="s">
        <v>1428</v>
      </c>
      <c r="B188" s="500" t="s">
        <v>1429</v>
      </c>
      <c r="C188" s="759" t="s">
        <v>1206</v>
      </c>
      <c r="D188" s="759" t="s">
        <v>1430</v>
      </c>
      <c r="E188" s="500" t="s">
        <v>726</v>
      </c>
      <c r="F188" s="500" t="s">
        <v>726</v>
      </c>
      <c r="G188" s="501">
        <v>46113.593854166669</v>
      </c>
      <c r="H188" s="759" t="s">
        <v>284</v>
      </c>
    </row>
    <row r="189" spans="1:8">
      <c r="A189" s="759" t="s">
        <v>1431</v>
      </c>
      <c r="B189" s="500" t="s">
        <v>1432</v>
      </c>
      <c r="C189" s="759" t="s">
        <v>1206</v>
      </c>
      <c r="D189" s="759" t="s">
        <v>1433</v>
      </c>
      <c r="E189" s="500" t="s">
        <v>726</v>
      </c>
      <c r="F189" s="500" t="s">
        <v>726</v>
      </c>
      <c r="G189" s="501">
        <v>46113.593854166669</v>
      </c>
      <c r="H189" s="759" t="s">
        <v>284</v>
      </c>
    </row>
    <row r="190" spans="1:8">
      <c r="A190" s="759" t="s">
        <v>1434</v>
      </c>
      <c r="B190" s="500" t="s">
        <v>1435</v>
      </c>
      <c r="C190" s="759" t="s">
        <v>1206</v>
      </c>
      <c r="D190" s="759" t="s">
        <v>1436</v>
      </c>
      <c r="E190" s="500" t="s">
        <v>726</v>
      </c>
      <c r="F190" s="500" t="s">
        <v>726</v>
      </c>
      <c r="G190" s="501">
        <v>46113.593854166669</v>
      </c>
      <c r="H190" s="759" t="s">
        <v>284</v>
      </c>
    </row>
    <row r="191" spans="1:8">
      <c r="A191" s="759" t="s">
        <v>1437</v>
      </c>
      <c r="B191" s="500" t="s">
        <v>1438</v>
      </c>
      <c r="C191" s="759" t="s">
        <v>1206</v>
      </c>
      <c r="D191" s="759" t="s">
        <v>11</v>
      </c>
      <c r="E191" s="500" t="s">
        <v>726</v>
      </c>
      <c r="F191" s="500" t="s">
        <v>726</v>
      </c>
      <c r="G191" s="501">
        <v>46113.593854166669</v>
      </c>
      <c r="H191" s="759" t="s">
        <v>284</v>
      </c>
    </row>
    <row r="192" spans="1:8">
      <c r="A192" s="500" t="s">
        <v>1439</v>
      </c>
      <c r="B192" s="500" t="s">
        <v>1440</v>
      </c>
      <c r="C192" s="759" t="s">
        <v>1206</v>
      </c>
      <c r="D192" s="759" t="s">
        <v>13</v>
      </c>
      <c r="E192" s="500" t="s">
        <v>726</v>
      </c>
      <c r="F192" s="500" t="s">
        <v>726</v>
      </c>
      <c r="G192" s="501">
        <v>46113.593854166669</v>
      </c>
      <c r="H192" s="759" t="s">
        <v>284</v>
      </c>
    </row>
    <row r="193" spans="1:8">
      <c r="A193" s="759" t="s">
        <v>1441</v>
      </c>
      <c r="B193" s="500" t="s">
        <v>1442</v>
      </c>
      <c r="C193" s="759" t="s">
        <v>1206</v>
      </c>
      <c r="D193" s="759" t="s">
        <v>14</v>
      </c>
      <c r="E193" s="500" t="s">
        <v>726</v>
      </c>
      <c r="F193" s="500" t="s">
        <v>726</v>
      </c>
      <c r="G193" s="501">
        <v>46113.593854166669</v>
      </c>
      <c r="H193" s="759" t="s">
        <v>284</v>
      </c>
    </row>
    <row r="194" spans="1:8">
      <c r="A194" s="759" t="s">
        <v>1443</v>
      </c>
      <c r="B194" s="500" t="s">
        <v>1444</v>
      </c>
      <c r="C194" s="759" t="s">
        <v>1206</v>
      </c>
      <c r="D194" s="759" t="s">
        <v>0</v>
      </c>
      <c r="E194" s="500" t="s">
        <v>726</v>
      </c>
      <c r="F194" s="500" t="s">
        <v>726</v>
      </c>
      <c r="G194" s="501">
        <v>46113.593854166669</v>
      </c>
      <c r="H194" s="759" t="s">
        <v>284</v>
      </c>
    </row>
    <row r="195" spans="1:8">
      <c r="A195" s="500" t="s">
        <v>1445</v>
      </c>
      <c r="B195" s="500" t="s">
        <v>1446</v>
      </c>
      <c r="C195" s="759" t="s">
        <v>1206</v>
      </c>
      <c r="D195" s="759" t="s">
        <v>1447</v>
      </c>
      <c r="E195" s="500" t="s">
        <v>726</v>
      </c>
      <c r="F195" s="500" t="s">
        <v>726</v>
      </c>
      <c r="G195" s="501">
        <v>46113.593854166669</v>
      </c>
      <c r="H195" s="759" t="s">
        <v>284</v>
      </c>
    </row>
    <row r="196" spans="1:8">
      <c r="A196" s="500" t="s">
        <v>1448</v>
      </c>
      <c r="B196" s="500" t="s">
        <v>1449</v>
      </c>
      <c r="C196" s="759" t="s">
        <v>1206</v>
      </c>
      <c r="D196" s="759" t="s">
        <v>1450</v>
      </c>
      <c r="E196" s="500" t="s">
        <v>726</v>
      </c>
      <c r="F196" s="500" t="s">
        <v>726</v>
      </c>
      <c r="G196" s="501">
        <v>46113.593854166669</v>
      </c>
      <c r="H196" s="759" t="s">
        <v>284</v>
      </c>
    </row>
    <row r="197" spans="1:8">
      <c r="A197" s="759" t="s">
        <v>1451</v>
      </c>
      <c r="B197" s="500" t="s">
        <v>1452</v>
      </c>
      <c r="C197" s="759" t="s">
        <v>1206</v>
      </c>
      <c r="D197" s="759" t="s">
        <v>22</v>
      </c>
      <c r="E197" s="500" t="s">
        <v>726</v>
      </c>
      <c r="F197" s="500" t="s">
        <v>726</v>
      </c>
      <c r="G197" s="501">
        <v>46113.593854166669</v>
      </c>
      <c r="H197" s="759" t="s">
        <v>284</v>
      </c>
    </row>
    <row r="198" spans="1:8">
      <c r="A198" s="759" t="s">
        <v>1453</v>
      </c>
      <c r="B198" s="500" t="s">
        <v>1454</v>
      </c>
      <c r="C198" s="759" t="s">
        <v>1206</v>
      </c>
      <c r="D198" s="759" t="s">
        <v>18</v>
      </c>
      <c r="E198" s="500" t="s">
        <v>726</v>
      </c>
      <c r="F198" s="500" t="s">
        <v>726</v>
      </c>
      <c r="G198" s="501">
        <v>46113.593854166669</v>
      </c>
      <c r="H198" s="759" t="s">
        <v>284</v>
      </c>
    </row>
    <row r="199" spans="1:8">
      <c r="A199" s="500" t="s">
        <v>1455</v>
      </c>
      <c r="B199" s="500" t="s">
        <v>1456</v>
      </c>
      <c r="C199" s="759" t="s">
        <v>1206</v>
      </c>
      <c r="D199" s="759" t="s">
        <v>1457</v>
      </c>
      <c r="E199" s="500" t="s">
        <v>726</v>
      </c>
      <c r="F199" s="500" t="s">
        <v>726</v>
      </c>
      <c r="G199" s="501">
        <v>46113.593854166669</v>
      </c>
      <c r="H199" s="759" t="s">
        <v>284</v>
      </c>
    </row>
    <row r="200" spans="1:8">
      <c r="A200" s="500" t="s">
        <v>1458</v>
      </c>
      <c r="B200" s="500" t="s">
        <v>1459</v>
      </c>
      <c r="C200" s="759" t="s">
        <v>1206</v>
      </c>
      <c r="D200" s="759" t="s">
        <v>1460</v>
      </c>
      <c r="E200" s="500" t="s">
        <v>726</v>
      </c>
      <c r="F200" s="500" t="s">
        <v>726</v>
      </c>
      <c r="G200" s="501">
        <v>46113.593854166669</v>
      </c>
      <c r="H200" s="759" t="s">
        <v>284</v>
      </c>
    </row>
    <row r="201" spans="1:8">
      <c r="A201" s="500" t="s">
        <v>1461</v>
      </c>
      <c r="B201" s="500" t="s">
        <v>1462</v>
      </c>
      <c r="C201" s="759" t="s">
        <v>1206</v>
      </c>
      <c r="D201" s="759" t="s">
        <v>1463</v>
      </c>
      <c r="E201" s="500" t="s">
        <v>726</v>
      </c>
      <c r="F201" s="500" t="s">
        <v>726</v>
      </c>
      <c r="G201" s="501">
        <v>46113.593854166669</v>
      </c>
      <c r="H201" s="759" t="s">
        <v>284</v>
      </c>
    </row>
    <row r="202" spans="1:8">
      <c r="A202" s="500" t="s">
        <v>1464</v>
      </c>
      <c r="B202" s="500" t="s">
        <v>1465</v>
      </c>
      <c r="C202" s="759" t="s">
        <v>1206</v>
      </c>
      <c r="D202" s="759" t="s">
        <v>1466</v>
      </c>
      <c r="E202" s="500" t="s">
        <v>726</v>
      </c>
      <c r="F202" s="500" t="s">
        <v>726</v>
      </c>
      <c r="G202" s="501">
        <v>46113.593854166669</v>
      </c>
      <c r="H202" s="759" t="s">
        <v>284</v>
      </c>
    </row>
    <row r="203" spans="1:8">
      <c r="A203" s="500" t="s">
        <v>1467</v>
      </c>
      <c r="B203" s="500" t="s">
        <v>1468</v>
      </c>
      <c r="C203" s="759" t="s">
        <v>1206</v>
      </c>
      <c r="D203" s="759" t="s">
        <v>1241</v>
      </c>
      <c r="E203" s="500" t="s">
        <v>726</v>
      </c>
      <c r="F203" s="500" t="s">
        <v>726</v>
      </c>
      <c r="G203" s="501">
        <v>46113.593854166669</v>
      </c>
      <c r="H203" s="759" t="s">
        <v>284</v>
      </c>
    </row>
    <row r="204" spans="1:8">
      <c r="A204" s="500" t="s">
        <v>1469</v>
      </c>
      <c r="B204" s="500" t="s">
        <v>1470</v>
      </c>
      <c r="C204" s="759" t="s">
        <v>1206</v>
      </c>
      <c r="D204" s="759" t="s">
        <v>1471</v>
      </c>
      <c r="E204" s="500" t="s">
        <v>726</v>
      </c>
      <c r="F204" s="500" t="s">
        <v>726</v>
      </c>
      <c r="G204" s="501">
        <v>46113.593854166669</v>
      </c>
      <c r="H204" s="759" t="s">
        <v>284</v>
      </c>
    </row>
    <row r="205" spans="1:8">
      <c r="A205" s="500" t="s">
        <v>1472</v>
      </c>
      <c r="B205" s="500" t="s">
        <v>1473</v>
      </c>
      <c r="C205" s="759" t="s">
        <v>1206</v>
      </c>
      <c r="D205" s="759" t="s">
        <v>1474</v>
      </c>
      <c r="E205" s="500" t="s">
        <v>726</v>
      </c>
      <c r="F205" s="500" t="s">
        <v>726</v>
      </c>
      <c r="G205" s="501">
        <v>46113.593854166669</v>
      </c>
      <c r="H205" s="759" t="s">
        <v>284</v>
      </c>
    </row>
    <row r="206" spans="1:8">
      <c r="A206" s="500" t="s">
        <v>1475</v>
      </c>
      <c r="B206" s="500" t="s">
        <v>1476</v>
      </c>
      <c r="C206" s="759" t="s">
        <v>1206</v>
      </c>
      <c r="D206" s="759" t="s">
        <v>1244</v>
      </c>
      <c r="E206" s="500" t="s">
        <v>726</v>
      </c>
      <c r="F206" s="500" t="s">
        <v>726</v>
      </c>
      <c r="G206" s="501">
        <v>46113.593854166669</v>
      </c>
      <c r="H206" s="759" t="s">
        <v>284</v>
      </c>
    </row>
    <row r="207" spans="1:8">
      <c r="A207" s="500" t="s">
        <v>1477</v>
      </c>
      <c r="B207" s="500" t="s">
        <v>1478</v>
      </c>
      <c r="C207" s="759" t="s">
        <v>1206</v>
      </c>
      <c r="D207" s="759" t="s">
        <v>1479</v>
      </c>
      <c r="E207" s="500" t="s">
        <v>726</v>
      </c>
      <c r="F207" s="500" t="s">
        <v>726</v>
      </c>
      <c r="G207" s="501">
        <v>46113.593854166669</v>
      </c>
      <c r="H207" s="759" t="s">
        <v>284</v>
      </c>
    </row>
    <row r="208" spans="1:8">
      <c r="A208" s="500" t="s">
        <v>1480</v>
      </c>
      <c r="B208" s="500" t="s">
        <v>1481</v>
      </c>
      <c r="C208" s="759" t="s">
        <v>1206</v>
      </c>
      <c r="D208" s="759" t="s">
        <v>1457</v>
      </c>
      <c r="E208" s="500" t="s">
        <v>726</v>
      </c>
      <c r="F208" s="500" t="s">
        <v>726</v>
      </c>
      <c r="G208" s="501">
        <v>46113.593854166669</v>
      </c>
      <c r="H208" s="759" t="s">
        <v>284</v>
      </c>
    </row>
    <row r="209" spans="1:8">
      <c r="A209" s="500" t="s">
        <v>1482</v>
      </c>
      <c r="B209" s="500" t="s">
        <v>1483</v>
      </c>
      <c r="C209" s="759" t="s">
        <v>1206</v>
      </c>
      <c r="D209" s="759" t="s">
        <v>1466</v>
      </c>
      <c r="E209" s="500" t="s">
        <v>726</v>
      </c>
      <c r="F209" s="500" t="s">
        <v>726</v>
      </c>
      <c r="G209" s="501">
        <v>46113.593854166669</v>
      </c>
      <c r="H209" s="759" t="s">
        <v>284</v>
      </c>
    </row>
    <row r="210" spans="1:8">
      <c r="A210" s="500" t="s">
        <v>1484</v>
      </c>
      <c r="B210" s="500" t="s">
        <v>1485</v>
      </c>
      <c r="C210" s="759" t="s">
        <v>1206</v>
      </c>
      <c r="D210" s="759" t="s">
        <v>1474</v>
      </c>
      <c r="E210" s="500" t="s">
        <v>726</v>
      </c>
      <c r="F210" s="500" t="s">
        <v>726</v>
      </c>
      <c r="G210" s="501">
        <v>46113.593854166669</v>
      </c>
      <c r="H210" s="759" t="s">
        <v>284</v>
      </c>
    </row>
    <row r="211" spans="1:8">
      <c r="A211" s="500" t="s">
        <v>1486</v>
      </c>
      <c r="B211" s="500" t="s">
        <v>1205</v>
      </c>
      <c r="C211" s="759" t="s">
        <v>1206</v>
      </c>
      <c r="D211" s="759" t="s">
        <v>1207</v>
      </c>
      <c r="E211" s="500" t="s">
        <v>726</v>
      </c>
      <c r="F211" s="500" t="s">
        <v>726</v>
      </c>
      <c r="G211" s="501">
        <v>46113.593854166669</v>
      </c>
      <c r="H211" s="759" t="s">
        <v>284</v>
      </c>
    </row>
    <row r="212" spans="1:8">
      <c r="A212" s="759" t="s">
        <v>1487</v>
      </c>
      <c r="B212" s="500" t="s">
        <v>1205</v>
      </c>
      <c r="C212" s="759" t="s">
        <v>1209</v>
      </c>
      <c r="D212" s="759" t="s">
        <v>1210</v>
      </c>
      <c r="E212" s="500" t="s">
        <v>726</v>
      </c>
      <c r="F212" s="500" t="s">
        <v>726</v>
      </c>
      <c r="G212" s="501">
        <v>46113.593854166669</v>
      </c>
      <c r="H212" s="759" t="s">
        <v>284</v>
      </c>
    </row>
    <row r="213" spans="1:8">
      <c r="A213" s="500" t="s">
        <v>1488</v>
      </c>
      <c r="B213" s="500" t="s">
        <v>1205</v>
      </c>
      <c r="C213" s="759" t="s">
        <v>1206</v>
      </c>
      <c r="D213" s="759" t="s">
        <v>1207</v>
      </c>
      <c r="E213" s="500" t="s">
        <v>726</v>
      </c>
      <c r="F213" s="500" t="s">
        <v>726</v>
      </c>
      <c r="G213" s="501">
        <v>46113.593854166669</v>
      </c>
      <c r="H213" s="759" t="s">
        <v>284</v>
      </c>
    </row>
    <row r="214" spans="1:8">
      <c r="A214" s="759" t="s">
        <v>1489</v>
      </c>
      <c r="B214" s="500" t="s">
        <v>1205</v>
      </c>
      <c r="C214" s="759" t="s">
        <v>1209</v>
      </c>
      <c r="D214" s="759" t="s">
        <v>1210</v>
      </c>
      <c r="E214" s="500" t="s">
        <v>726</v>
      </c>
      <c r="F214" s="500" t="s">
        <v>726</v>
      </c>
      <c r="G214" s="501">
        <v>46113.593854166669</v>
      </c>
      <c r="H214" s="759" t="s">
        <v>284</v>
      </c>
    </row>
    <row r="215" spans="1:8">
      <c r="A215" s="759" t="s">
        <v>1490</v>
      </c>
      <c r="B215" s="500" t="s">
        <v>1491</v>
      </c>
      <c r="C215" s="759" t="s">
        <v>1209</v>
      </c>
      <c r="D215" s="759" t="s">
        <v>1210</v>
      </c>
      <c r="E215" s="500" t="s">
        <v>726</v>
      </c>
      <c r="F215" s="500" t="s">
        <v>726</v>
      </c>
      <c r="G215" s="501">
        <v>46113.593854166669</v>
      </c>
      <c r="H215" s="759" t="s">
        <v>284</v>
      </c>
    </row>
    <row r="216" spans="1:8">
      <c r="A216" s="500" t="s">
        <v>1492</v>
      </c>
      <c r="B216" s="500" t="s">
        <v>1205</v>
      </c>
      <c r="C216" s="759" t="s">
        <v>1206</v>
      </c>
      <c r="D216" s="759" t="s">
        <v>1207</v>
      </c>
      <c r="E216" s="500" t="s">
        <v>726</v>
      </c>
      <c r="F216" s="500" t="s">
        <v>726</v>
      </c>
      <c r="G216" s="501">
        <v>46113.593854166669</v>
      </c>
      <c r="H216" s="759" t="s">
        <v>284</v>
      </c>
    </row>
    <row r="217" spans="1:8">
      <c r="A217" s="759" t="s">
        <v>1493</v>
      </c>
      <c r="B217" s="500" t="s">
        <v>1205</v>
      </c>
      <c r="C217" s="759" t="s">
        <v>1209</v>
      </c>
      <c r="D217" s="759" t="s">
        <v>1210</v>
      </c>
      <c r="E217" s="500" t="s">
        <v>726</v>
      </c>
      <c r="F217" s="500" t="s">
        <v>726</v>
      </c>
      <c r="G217" s="501">
        <v>46113.593854166669</v>
      </c>
      <c r="H217" s="759" t="s">
        <v>284</v>
      </c>
    </row>
    <row r="218" spans="1:8">
      <c r="A218" s="500" t="s">
        <v>1494</v>
      </c>
      <c r="B218" s="500" t="s">
        <v>1205</v>
      </c>
      <c r="C218" s="759" t="s">
        <v>1206</v>
      </c>
      <c r="D218" s="759" t="s">
        <v>1207</v>
      </c>
      <c r="E218" s="500" t="s">
        <v>726</v>
      </c>
      <c r="F218" s="500" t="s">
        <v>726</v>
      </c>
      <c r="G218" s="501">
        <v>46113.593854166669</v>
      </c>
      <c r="H218" s="759" t="s">
        <v>284</v>
      </c>
    </row>
    <row r="219" spans="1:8">
      <c r="A219" s="759" t="s">
        <v>1495</v>
      </c>
      <c r="B219" s="500" t="s">
        <v>1205</v>
      </c>
      <c r="C219" s="759" t="s">
        <v>1209</v>
      </c>
      <c r="D219" s="759" t="s">
        <v>1210</v>
      </c>
      <c r="E219" s="500" t="s">
        <v>726</v>
      </c>
      <c r="F219" s="500" t="s">
        <v>726</v>
      </c>
      <c r="G219" s="501">
        <v>46113.593854166669</v>
      </c>
      <c r="H219" s="759" t="s">
        <v>284</v>
      </c>
    </row>
    <row r="220" spans="1:8">
      <c r="A220" s="500" t="s">
        <v>1496</v>
      </c>
      <c r="B220" s="500" t="s">
        <v>1205</v>
      </c>
      <c r="C220" s="759" t="s">
        <v>1206</v>
      </c>
      <c r="D220" s="759" t="s">
        <v>1207</v>
      </c>
      <c r="E220" s="500" t="s">
        <v>726</v>
      </c>
      <c r="F220" s="500" t="s">
        <v>726</v>
      </c>
      <c r="G220" s="501">
        <v>46113.593854166669</v>
      </c>
      <c r="H220" s="759" t="s">
        <v>284</v>
      </c>
    </row>
    <row r="221" spans="1:8">
      <c r="A221" s="759" t="s">
        <v>1497</v>
      </c>
      <c r="B221" s="500" t="s">
        <v>1205</v>
      </c>
      <c r="C221" s="759" t="s">
        <v>1209</v>
      </c>
      <c r="D221" s="759" t="s">
        <v>1210</v>
      </c>
      <c r="E221" s="500" t="s">
        <v>726</v>
      </c>
      <c r="F221" s="500" t="s">
        <v>726</v>
      </c>
      <c r="G221" s="501">
        <v>46113.593854166669</v>
      </c>
      <c r="H221" s="759" t="s">
        <v>284</v>
      </c>
    </row>
    <row r="222" spans="1:8">
      <c r="A222" s="500" t="s">
        <v>1498</v>
      </c>
      <c r="B222" s="500" t="s">
        <v>1205</v>
      </c>
      <c r="C222" s="759" t="s">
        <v>1206</v>
      </c>
      <c r="D222" s="759" t="s">
        <v>1207</v>
      </c>
      <c r="E222" s="500" t="s">
        <v>726</v>
      </c>
      <c r="F222" s="500" t="s">
        <v>726</v>
      </c>
      <c r="G222" s="501">
        <v>46113.593854166669</v>
      </c>
      <c r="H222" s="759" t="s">
        <v>284</v>
      </c>
    </row>
    <row r="223" spans="1:8">
      <c r="A223" s="759" t="s">
        <v>1499</v>
      </c>
      <c r="B223" s="500" t="s">
        <v>1205</v>
      </c>
      <c r="C223" s="759" t="s">
        <v>1209</v>
      </c>
      <c r="D223" s="759" t="s">
        <v>1210</v>
      </c>
      <c r="E223" s="500" t="s">
        <v>726</v>
      </c>
      <c r="F223" s="500" t="s">
        <v>726</v>
      </c>
      <c r="G223" s="501">
        <v>46113.593854166669</v>
      </c>
      <c r="H223" s="759" t="s">
        <v>284</v>
      </c>
    </row>
    <row r="224" spans="1:8">
      <c r="A224" s="759" t="s">
        <v>1500</v>
      </c>
      <c r="B224" s="500" t="s">
        <v>1205</v>
      </c>
      <c r="C224" s="759" t="s">
        <v>1209</v>
      </c>
      <c r="D224" s="759" t="s">
        <v>1210</v>
      </c>
      <c r="E224" s="500" t="s">
        <v>726</v>
      </c>
      <c r="F224" s="500" t="s">
        <v>726</v>
      </c>
      <c r="G224" s="501">
        <v>46113.593854166669</v>
      </c>
      <c r="H224" s="759" t="s">
        <v>284</v>
      </c>
    </row>
    <row r="225" spans="1:8">
      <c r="A225" s="500" t="s">
        <v>1501</v>
      </c>
      <c r="B225" s="500" t="s">
        <v>1205</v>
      </c>
      <c r="C225" s="759" t="s">
        <v>1206</v>
      </c>
      <c r="D225" s="759" t="s">
        <v>1207</v>
      </c>
      <c r="E225" s="500" t="s">
        <v>726</v>
      </c>
      <c r="F225" s="500" t="s">
        <v>726</v>
      </c>
      <c r="G225" s="501">
        <v>46113.593854166669</v>
      </c>
      <c r="H225" s="759" t="s">
        <v>284</v>
      </c>
    </row>
    <row r="226" spans="1:8">
      <c r="A226" s="759" t="s">
        <v>1502</v>
      </c>
      <c r="B226" s="500" t="s">
        <v>1205</v>
      </c>
      <c r="C226" s="759" t="s">
        <v>1209</v>
      </c>
      <c r="D226" s="759" t="s">
        <v>1210</v>
      </c>
      <c r="E226" s="500" t="s">
        <v>726</v>
      </c>
      <c r="F226" s="500" t="s">
        <v>726</v>
      </c>
      <c r="G226" s="501">
        <v>46113.593854166669</v>
      </c>
      <c r="H226" s="759" t="s">
        <v>284</v>
      </c>
    </row>
    <row r="227" spans="1:8">
      <c r="A227" s="500" t="s">
        <v>1503</v>
      </c>
      <c r="B227" s="500" t="s">
        <v>1205</v>
      </c>
      <c r="C227" s="759" t="s">
        <v>1206</v>
      </c>
      <c r="D227" s="759" t="s">
        <v>1207</v>
      </c>
      <c r="E227" s="500" t="s">
        <v>726</v>
      </c>
      <c r="F227" s="500" t="s">
        <v>726</v>
      </c>
      <c r="G227" s="501">
        <v>46113.593854166669</v>
      </c>
      <c r="H227" s="759" t="s">
        <v>284</v>
      </c>
    </row>
    <row r="228" spans="1:8">
      <c r="A228" s="759" t="s">
        <v>1504</v>
      </c>
      <c r="B228" s="500" t="s">
        <v>1205</v>
      </c>
      <c r="C228" s="759" t="s">
        <v>1209</v>
      </c>
      <c r="D228" s="759" t="s">
        <v>1210</v>
      </c>
      <c r="E228" s="500" t="s">
        <v>726</v>
      </c>
      <c r="F228" s="500" t="s">
        <v>726</v>
      </c>
      <c r="G228" s="501">
        <v>46113.593854166669</v>
      </c>
      <c r="H228" s="759" t="s">
        <v>284</v>
      </c>
    </row>
    <row r="229" spans="1:8">
      <c r="A229" s="500" t="s">
        <v>1505</v>
      </c>
      <c r="B229" s="500" t="s">
        <v>1205</v>
      </c>
      <c r="C229" s="759" t="s">
        <v>1206</v>
      </c>
      <c r="D229" s="759" t="s">
        <v>1207</v>
      </c>
      <c r="E229" s="500" t="s">
        <v>726</v>
      </c>
      <c r="F229" s="500" t="s">
        <v>726</v>
      </c>
      <c r="G229" s="501">
        <v>46113.593854166669</v>
      </c>
      <c r="H229" s="759" t="s">
        <v>284</v>
      </c>
    </row>
    <row r="230" spans="1:8">
      <c r="A230" s="759" t="s">
        <v>1506</v>
      </c>
      <c r="B230" s="500" t="s">
        <v>1205</v>
      </c>
      <c r="C230" s="759" t="s">
        <v>1209</v>
      </c>
      <c r="D230" s="759" t="s">
        <v>1210</v>
      </c>
      <c r="E230" s="500" t="s">
        <v>726</v>
      </c>
      <c r="F230" s="500" t="s">
        <v>726</v>
      </c>
      <c r="G230" s="501">
        <v>46113.593854166669</v>
      </c>
      <c r="H230" s="759" t="s">
        <v>284</v>
      </c>
    </row>
    <row r="231" spans="1:8">
      <c r="A231" s="500" t="s">
        <v>1507</v>
      </c>
      <c r="B231" s="500" t="s">
        <v>1205</v>
      </c>
      <c r="C231" s="759" t="s">
        <v>1206</v>
      </c>
      <c r="D231" s="759" t="s">
        <v>1207</v>
      </c>
      <c r="E231" s="500" t="s">
        <v>726</v>
      </c>
      <c r="F231" s="500" t="s">
        <v>726</v>
      </c>
      <c r="G231" s="501">
        <v>46113.593854166669</v>
      </c>
      <c r="H231" s="759" t="s">
        <v>284</v>
      </c>
    </row>
    <row r="232" spans="1:8">
      <c r="A232" s="759" t="s">
        <v>1508</v>
      </c>
      <c r="B232" s="500" t="s">
        <v>1205</v>
      </c>
      <c r="C232" s="759" t="s">
        <v>1209</v>
      </c>
      <c r="D232" s="759" t="s">
        <v>1210</v>
      </c>
      <c r="E232" s="500" t="s">
        <v>726</v>
      </c>
      <c r="F232" s="500" t="s">
        <v>726</v>
      </c>
      <c r="G232" s="501">
        <v>46113.593854166669</v>
      </c>
      <c r="H232" s="759" t="s">
        <v>284</v>
      </c>
    </row>
    <row r="233" spans="1:8">
      <c r="A233" s="759" t="s">
        <v>1509</v>
      </c>
      <c r="B233" s="500" t="s">
        <v>1510</v>
      </c>
      <c r="C233" s="759" t="s">
        <v>1209</v>
      </c>
      <c r="D233" s="759" t="s">
        <v>1210</v>
      </c>
      <c r="E233" s="500" t="s">
        <v>726</v>
      </c>
      <c r="F233" s="500" t="s">
        <v>726</v>
      </c>
      <c r="G233" s="501">
        <v>46113.593854166669</v>
      </c>
      <c r="H233" s="759" t="s">
        <v>284</v>
      </c>
    </row>
    <row r="234" spans="1:8">
      <c r="A234" s="500" t="s">
        <v>1511</v>
      </c>
      <c r="B234" s="500" t="s">
        <v>1205</v>
      </c>
      <c r="C234" s="759" t="s">
        <v>1206</v>
      </c>
      <c r="D234" s="759" t="s">
        <v>1207</v>
      </c>
      <c r="E234" s="500" t="s">
        <v>726</v>
      </c>
      <c r="F234" s="500" t="s">
        <v>726</v>
      </c>
      <c r="G234" s="501">
        <v>46113.593854166669</v>
      </c>
      <c r="H234" s="759" t="s">
        <v>284</v>
      </c>
    </row>
    <row r="235" spans="1:8">
      <c r="A235" s="759" t="s">
        <v>1512</v>
      </c>
      <c r="B235" s="500" t="s">
        <v>1205</v>
      </c>
      <c r="C235" s="759" t="s">
        <v>1209</v>
      </c>
      <c r="D235" s="759" t="s">
        <v>1210</v>
      </c>
      <c r="E235" s="500" t="s">
        <v>726</v>
      </c>
      <c r="F235" s="500" t="s">
        <v>726</v>
      </c>
      <c r="G235" s="501">
        <v>46113.593854166669</v>
      </c>
      <c r="H235" s="759" t="s">
        <v>284</v>
      </c>
    </row>
    <row r="236" spans="1:8">
      <c r="A236" s="759" t="s">
        <v>242</v>
      </c>
      <c r="B236" s="500" t="s">
        <v>1513</v>
      </c>
      <c r="C236" s="759" t="s">
        <v>1209</v>
      </c>
      <c r="D236" s="759" t="s">
        <v>1210</v>
      </c>
      <c r="E236" s="500" t="s">
        <v>726</v>
      </c>
      <c r="F236" s="500" t="s">
        <v>726</v>
      </c>
      <c r="G236" s="501">
        <v>46113.593854166669</v>
      </c>
      <c r="H236" s="759" t="s">
        <v>284</v>
      </c>
    </row>
    <row r="237" spans="1:8">
      <c r="A237" s="500" t="s">
        <v>1514</v>
      </c>
      <c r="B237" s="500" t="s">
        <v>1205</v>
      </c>
      <c r="C237" s="759" t="s">
        <v>1206</v>
      </c>
      <c r="D237" s="759" t="s">
        <v>1207</v>
      </c>
      <c r="E237" s="500" t="s">
        <v>726</v>
      </c>
      <c r="F237" s="500" t="s">
        <v>726</v>
      </c>
      <c r="G237" s="501">
        <v>46113.593854166669</v>
      </c>
      <c r="H237" s="759" t="s">
        <v>284</v>
      </c>
    </row>
    <row r="238" spans="1:8">
      <c r="A238" s="759" t="s">
        <v>1515</v>
      </c>
      <c r="B238" s="500" t="s">
        <v>1205</v>
      </c>
      <c r="C238" s="759" t="s">
        <v>1209</v>
      </c>
      <c r="D238" s="759" t="s">
        <v>1210</v>
      </c>
      <c r="E238" s="500" t="s">
        <v>726</v>
      </c>
      <c r="F238" s="500" t="s">
        <v>726</v>
      </c>
      <c r="G238" s="501">
        <v>46113.593854166669</v>
      </c>
      <c r="H238" s="759" t="s">
        <v>284</v>
      </c>
    </row>
    <row r="239" spans="1:8">
      <c r="A239" s="500" t="s">
        <v>1516</v>
      </c>
      <c r="B239" s="500" t="s">
        <v>1205</v>
      </c>
      <c r="C239" s="759" t="s">
        <v>1206</v>
      </c>
      <c r="D239" s="759" t="s">
        <v>1207</v>
      </c>
      <c r="E239" s="500" t="s">
        <v>726</v>
      </c>
      <c r="F239" s="500" t="s">
        <v>726</v>
      </c>
      <c r="G239" s="501">
        <v>46113.593854166669</v>
      </c>
      <c r="H239" s="759" t="s">
        <v>284</v>
      </c>
    </row>
    <row r="240" spans="1:8">
      <c r="A240" s="759" t="s">
        <v>1517</v>
      </c>
      <c r="B240" s="500" t="s">
        <v>1205</v>
      </c>
      <c r="C240" s="759" t="s">
        <v>1209</v>
      </c>
      <c r="D240" s="759" t="s">
        <v>1210</v>
      </c>
      <c r="E240" s="500" t="s">
        <v>726</v>
      </c>
      <c r="F240" s="500" t="s">
        <v>726</v>
      </c>
      <c r="G240" s="501">
        <v>46113.593854166669</v>
      </c>
      <c r="H240" s="759" t="s">
        <v>284</v>
      </c>
    </row>
    <row r="241" spans="1:8">
      <c r="A241" s="500" t="s">
        <v>1518</v>
      </c>
      <c r="B241" s="500" t="s">
        <v>1205</v>
      </c>
      <c r="C241" s="759" t="s">
        <v>1206</v>
      </c>
      <c r="D241" s="759" t="s">
        <v>1207</v>
      </c>
      <c r="E241" s="500" t="s">
        <v>726</v>
      </c>
      <c r="F241" s="500" t="s">
        <v>726</v>
      </c>
      <c r="G241" s="501">
        <v>46113.593854166669</v>
      </c>
      <c r="H241" s="759" t="s">
        <v>284</v>
      </c>
    </row>
    <row r="242" spans="1:8">
      <c r="A242" s="759" t="s">
        <v>1519</v>
      </c>
      <c r="B242" s="500" t="s">
        <v>1205</v>
      </c>
      <c r="C242" s="759" t="s">
        <v>1209</v>
      </c>
      <c r="D242" s="759" t="s">
        <v>1210</v>
      </c>
      <c r="E242" s="500" t="s">
        <v>726</v>
      </c>
      <c r="F242" s="500" t="s">
        <v>726</v>
      </c>
      <c r="G242" s="501">
        <v>46113.593854166669</v>
      </c>
      <c r="H242" s="759" t="s">
        <v>284</v>
      </c>
    </row>
    <row r="243" spans="1:8">
      <c r="A243" s="500" t="s">
        <v>1520</v>
      </c>
      <c r="B243" s="500" t="s">
        <v>1521</v>
      </c>
      <c r="C243" s="759" t="s">
        <v>1206</v>
      </c>
      <c r="D243" s="759" t="s">
        <v>1241</v>
      </c>
      <c r="E243" s="500" t="s">
        <v>726</v>
      </c>
      <c r="F243" s="500" t="s">
        <v>726</v>
      </c>
      <c r="G243" s="501">
        <v>46113.593865740739</v>
      </c>
      <c r="H243" s="759" t="s">
        <v>284</v>
      </c>
    </row>
    <row r="244" spans="1:8">
      <c r="A244" s="500" t="s">
        <v>1522</v>
      </c>
      <c r="B244" s="500" t="s">
        <v>1521</v>
      </c>
      <c r="C244" s="759" t="s">
        <v>1206</v>
      </c>
      <c r="D244" s="759" t="s">
        <v>1244</v>
      </c>
      <c r="E244" s="500" t="s">
        <v>726</v>
      </c>
      <c r="F244" s="500" t="s">
        <v>726</v>
      </c>
      <c r="G244" s="501">
        <v>46113.593865740739</v>
      </c>
      <c r="H244" s="759" t="s">
        <v>284</v>
      </c>
    </row>
    <row r="245" spans="1:8">
      <c r="A245" s="759" t="s">
        <v>1523</v>
      </c>
      <c r="B245" s="500" t="s">
        <v>1521</v>
      </c>
      <c r="C245" s="759" t="s">
        <v>1209</v>
      </c>
      <c r="D245" s="759" t="s">
        <v>1210</v>
      </c>
      <c r="E245" s="500" t="s">
        <v>726</v>
      </c>
      <c r="F245" s="500" t="s">
        <v>726</v>
      </c>
      <c r="G245" s="501">
        <v>46113.593865740739</v>
      </c>
      <c r="H245" s="759" t="s">
        <v>284</v>
      </c>
    </row>
    <row r="246" spans="1:8">
      <c r="A246" s="500" t="s">
        <v>1524</v>
      </c>
      <c r="B246" s="500" t="s">
        <v>1205</v>
      </c>
      <c r="C246" s="759" t="s">
        <v>1206</v>
      </c>
      <c r="D246" s="759" t="s">
        <v>1207</v>
      </c>
      <c r="E246" s="500" t="s">
        <v>726</v>
      </c>
      <c r="F246" s="500" t="s">
        <v>726</v>
      </c>
      <c r="G246" s="501">
        <v>46113.593865740739</v>
      </c>
      <c r="H246" s="759" t="s">
        <v>284</v>
      </c>
    </row>
    <row r="247" spans="1:8">
      <c r="A247" s="759" t="s">
        <v>1525</v>
      </c>
      <c r="B247" s="500" t="s">
        <v>1205</v>
      </c>
      <c r="C247" s="759" t="s">
        <v>1209</v>
      </c>
      <c r="D247" s="759" t="s">
        <v>1210</v>
      </c>
      <c r="E247" s="500" t="s">
        <v>726</v>
      </c>
      <c r="F247" s="500" t="s">
        <v>726</v>
      </c>
      <c r="G247" s="501">
        <v>46113.593865740739</v>
      </c>
      <c r="H247" s="759" t="s">
        <v>284</v>
      </c>
    </row>
    <row r="248" spans="1:8">
      <c r="A248" s="500" t="s">
        <v>1526</v>
      </c>
      <c r="B248" s="500" t="s">
        <v>1205</v>
      </c>
      <c r="C248" s="759" t="s">
        <v>1206</v>
      </c>
      <c r="D248" s="759" t="s">
        <v>1207</v>
      </c>
      <c r="E248" s="500" t="s">
        <v>726</v>
      </c>
      <c r="F248" s="500" t="s">
        <v>726</v>
      </c>
      <c r="G248" s="501">
        <v>46113.593865740739</v>
      </c>
      <c r="H248" s="759" t="s">
        <v>284</v>
      </c>
    </row>
    <row r="249" spans="1:8">
      <c r="A249" s="759" t="s">
        <v>1527</v>
      </c>
      <c r="B249" s="500" t="s">
        <v>1205</v>
      </c>
      <c r="C249" s="759" t="s">
        <v>1209</v>
      </c>
      <c r="D249" s="759" t="s">
        <v>1210</v>
      </c>
      <c r="E249" s="500" t="s">
        <v>726</v>
      </c>
      <c r="F249" s="500" t="s">
        <v>726</v>
      </c>
      <c r="G249" s="501">
        <v>46113.593865740739</v>
      </c>
      <c r="H249" s="759" t="s">
        <v>284</v>
      </c>
    </row>
    <row r="250" spans="1:8">
      <c r="A250" s="500" t="s">
        <v>1528</v>
      </c>
      <c r="B250" s="500" t="s">
        <v>1205</v>
      </c>
      <c r="C250" s="759" t="s">
        <v>1206</v>
      </c>
      <c r="D250" s="759" t="s">
        <v>1207</v>
      </c>
      <c r="E250" s="500" t="s">
        <v>726</v>
      </c>
      <c r="F250" s="500" t="s">
        <v>726</v>
      </c>
      <c r="G250" s="501">
        <v>46113.593865740739</v>
      </c>
      <c r="H250" s="759" t="s">
        <v>284</v>
      </c>
    </row>
    <row r="251" spans="1:8">
      <c r="A251" s="759" t="s">
        <v>1529</v>
      </c>
      <c r="B251" s="500" t="s">
        <v>1205</v>
      </c>
      <c r="C251" s="759" t="s">
        <v>1209</v>
      </c>
      <c r="D251" s="759" t="s">
        <v>1210</v>
      </c>
      <c r="E251" s="500" t="s">
        <v>726</v>
      </c>
      <c r="F251" s="500" t="s">
        <v>726</v>
      </c>
      <c r="G251" s="501">
        <v>46113.593865740739</v>
      </c>
      <c r="H251" s="759" t="s">
        <v>284</v>
      </c>
    </row>
    <row r="252" spans="1:8">
      <c r="A252" s="500" t="s">
        <v>1530</v>
      </c>
      <c r="B252" s="500" t="s">
        <v>1205</v>
      </c>
      <c r="C252" s="759" t="s">
        <v>1206</v>
      </c>
      <c r="D252" s="759" t="s">
        <v>1207</v>
      </c>
      <c r="E252" s="500" t="s">
        <v>726</v>
      </c>
      <c r="F252" s="500" t="s">
        <v>726</v>
      </c>
      <c r="G252" s="501">
        <v>46113.593865740739</v>
      </c>
      <c r="H252" s="759" t="s">
        <v>284</v>
      </c>
    </row>
    <row r="253" spans="1:8">
      <c r="A253" s="759" t="s">
        <v>1531</v>
      </c>
      <c r="B253" s="500" t="s">
        <v>1205</v>
      </c>
      <c r="C253" s="759" t="s">
        <v>1209</v>
      </c>
      <c r="D253" s="759" t="s">
        <v>1210</v>
      </c>
      <c r="E253" s="500" t="s">
        <v>726</v>
      </c>
      <c r="F253" s="500" t="s">
        <v>726</v>
      </c>
      <c r="G253" s="501">
        <v>46113.593865740739</v>
      </c>
      <c r="H253" s="759" t="s">
        <v>284</v>
      </c>
    </row>
    <row r="254" spans="1:8">
      <c r="A254" s="759" t="s">
        <v>1532</v>
      </c>
      <c r="B254" s="500" t="s">
        <v>1533</v>
      </c>
      <c r="C254" s="759" t="s">
        <v>1209</v>
      </c>
      <c r="D254" s="759" t="s">
        <v>1210</v>
      </c>
      <c r="E254" s="500" t="s">
        <v>726</v>
      </c>
      <c r="F254" s="500" t="s">
        <v>726</v>
      </c>
      <c r="G254" s="501">
        <v>46113.593865740739</v>
      </c>
      <c r="H254" s="759" t="s">
        <v>284</v>
      </c>
    </row>
    <row r="255" spans="1:8">
      <c r="A255" s="500" t="s">
        <v>1534</v>
      </c>
      <c r="B255" s="500" t="s">
        <v>1205</v>
      </c>
      <c r="C255" s="759" t="s">
        <v>1206</v>
      </c>
      <c r="D255" s="759" t="s">
        <v>1207</v>
      </c>
      <c r="E255" s="500" t="s">
        <v>726</v>
      </c>
      <c r="F255" s="500" t="s">
        <v>726</v>
      </c>
      <c r="G255" s="501">
        <v>46113.593865740739</v>
      </c>
      <c r="H255" s="759" t="s">
        <v>284</v>
      </c>
    </row>
    <row r="256" spans="1:8">
      <c r="A256" s="759" t="s">
        <v>1535</v>
      </c>
      <c r="B256" s="500" t="s">
        <v>1205</v>
      </c>
      <c r="C256" s="759" t="s">
        <v>1209</v>
      </c>
      <c r="D256" s="759" t="s">
        <v>1210</v>
      </c>
      <c r="E256" s="500" t="s">
        <v>726</v>
      </c>
      <c r="F256" s="500" t="s">
        <v>726</v>
      </c>
      <c r="G256" s="501">
        <v>46113.593865740739</v>
      </c>
      <c r="H256" s="759" t="s">
        <v>284</v>
      </c>
    </row>
    <row r="257" spans="1:8">
      <c r="A257" s="500" t="s">
        <v>1536</v>
      </c>
      <c r="B257" s="500" t="s">
        <v>1205</v>
      </c>
      <c r="C257" s="759" t="s">
        <v>1206</v>
      </c>
      <c r="D257" s="759" t="s">
        <v>1207</v>
      </c>
      <c r="E257" s="500" t="s">
        <v>726</v>
      </c>
      <c r="F257" s="500" t="s">
        <v>726</v>
      </c>
      <c r="G257" s="501">
        <v>46113.593865740739</v>
      </c>
      <c r="H257" s="759" t="s">
        <v>284</v>
      </c>
    </row>
    <row r="258" spans="1:8">
      <c r="A258" s="759" t="s">
        <v>1537</v>
      </c>
      <c r="B258" s="500" t="s">
        <v>1205</v>
      </c>
      <c r="C258" s="759" t="s">
        <v>1209</v>
      </c>
      <c r="D258" s="759" t="s">
        <v>1210</v>
      </c>
      <c r="E258" s="500" t="s">
        <v>726</v>
      </c>
      <c r="F258" s="500" t="s">
        <v>726</v>
      </c>
      <c r="G258" s="501">
        <v>46113.593865740739</v>
      </c>
      <c r="H258" s="759" t="s">
        <v>284</v>
      </c>
    </row>
    <row r="259" spans="1:8">
      <c r="A259" s="759" t="s">
        <v>1538</v>
      </c>
      <c r="B259" s="500" t="s">
        <v>1539</v>
      </c>
      <c r="C259" s="759" t="s">
        <v>1209</v>
      </c>
      <c r="D259" s="759" t="s">
        <v>1210</v>
      </c>
      <c r="E259" s="500" t="s">
        <v>726</v>
      </c>
      <c r="F259" s="500" t="s">
        <v>726</v>
      </c>
      <c r="G259" s="501">
        <v>46113.593865740739</v>
      </c>
      <c r="H259" s="759" t="s">
        <v>284</v>
      </c>
    </row>
    <row r="260" spans="1:8">
      <c r="A260" s="759" t="s">
        <v>583</v>
      </c>
      <c r="B260" s="500" t="s">
        <v>1540</v>
      </c>
      <c r="C260" s="759" t="s">
        <v>1209</v>
      </c>
      <c r="D260" s="759" t="s">
        <v>1210</v>
      </c>
      <c r="E260" s="500" t="s">
        <v>726</v>
      </c>
      <c r="F260" s="500" t="s">
        <v>726</v>
      </c>
      <c r="G260" s="501">
        <v>46113.593865740739</v>
      </c>
      <c r="H260" s="759" t="s">
        <v>284</v>
      </c>
    </row>
    <row r="261" spans="1:8">
      <c r="A261" s="759" t="s">
        <v>1541</v>
      </c>
      <c r="B261" s="500" t="s">
        <v>1542</v>
      </c>
      <c r="C261" s="759" t="s">
        <v>1209</v>
      </c>
      <c r="D261" s="759" t="s">
        <v>1210</v>
      </c>
      <c r="E261" s="500" t="s">
        <v>726</v>
      </c>
      <c r="F261" s="500" t="s">
        <v>726</v>
      </c>
      <c r="G261" s="501">
        <v>46113.593865740739</v>
      </c>
      <c r="H261" s="759" t="s">
        <v>284</v>
      </c>
    </row>
    <row r="262" spans="1:8">
      <c r="A262" s="500" t="s">
        <v>1543</v>
      </c>
      <c r="B262" s="500" t="s">
        <v>1205</v>
      </c>
      <c r="C262" s="759" t="s">
        <v>1206</v>
      </c>
      <c r="D262" s="759" t="s">
        <v>1207</v>
      </c>
      <c r="E262" s="500" t="s">
        <v>726</v>
      </c>
      <c r="F262" s="500" t="s">
        <v>726</v>
      </c>
      <c r="G262" s="501">
        <v>46113.593865740739</v>
      </c>
      <c r="H262" s="759" t="s">
        <v>284</v>
      </c>
    </row>
    <row r="263" spans="1:8">
      <c r="A263" s="759" t="s">
        <v>1544</v>
      </c>
      <c r="B263" s="500" t="s">
        <v>1205</v>
      </c>
      <c r="C263" s="759" t="s">
        <v>1209</v>
      </c>
      <c r="D263" s="759" t="s">
        <v>1210</v>
      </c>
      <c r="E263" s="500" t="s">
        <v>726</v>
      </c>
      <c r="F263" s="500" t="s">
        <v>726</v>
      </c>
      <c r="G263" s="501">
        <v>46113.593865740739</v>
      </c>
      <c r="H263" s="759" t="s">
        <v>284</v>
      </c>
    </row>
    <row r="264" spans="1:8">
      <c r="A264" s="759" t="s">
        <v>1545</v>
      </c>
      <c r="B264" s="500" t="s">
        <v>1546</v>
      </c>
      <c r="C264" s="759" t="s">
        <v>1209</v>
      </c>
      <c r="D264" s="759" t="s">
        <v>1210</v>
      </c>
      <c r="E264" s="500" t="s">
        <v>726</v>
      </c>
      <c r="F264" s="500" t="s">
        <v>726</v>
      </c>
      <c r="G264" s="501">
        <v>46113.593865740739</v>
      </c>
      <c r="H264" s="759" t="s">
        <v>284</v>
      </c>
    </row>
    <row r="265" spans="1:8">
      <c r="A265" s="759" t="s">
        <v>1547</v>
      </c>
      <c r="B265" s="500" t="s">
        <v>1548</v>
      </c>
      <c r="C265" s="759" t="s">
        <v>1209</v>
      </c>
      <c r="D265" s="759" t="s">
        <v>1210</v>
      </c>
      <c r="E265" s="500" t="s">
        <v>726</v>
      </c>
      <c r="F265" s="500" t="s">
        <v>726</v>
      </c>
      <c r="G265" s="501">
        <v>46113.593865740739</v>
      </c>
      <c r="H265" s="759" t="s">
        <v>284</v>
      </c>
    </row>
    <row r="266" spans="1:8">
      <c r="A266" s="500" t="s">
        <v>1549</v>
      </c>
      <c r="B266" s="500" t="s">
        <v>1205</v>
      </c>
      <c r="C266" s="759" t="s">
        <v>1206</v>
      </c>
      <c r="D266" s="759" t="s">
        <v>1207</v>
      </c>
      <c r="E266" s="500" t="s">
        <v>726</v>
      </c>
      <c r="F266" s="500" t="s">
        <v>726</v>
      </c>
      <c r="G266" s="501">
        <v>46113.593865740739</v>
      </c>
      <c r="H266" s="759" t="s">
        <v>284</v>
      </c>
    </row>
    <row r="267" spans="1:8">
      <c r="A267" s="759" t="s">
        <v>1550</v>
      </c>
      <c r="B267" s="500" t="s">
        <v>1205</v>
      </c>
      <c r="C267" s="759" t="s">
        <v>1209</v>
      </c>
      <c r="D267" s="759" t="s">
        <v>1210</v>
      </c>
      <c r="E267" s="500" t="s">
        <v>726</v>
      </c>
      <c r="F267" s="500" t="s">
        <v>726</v>
      </c>
      <c r="G267" s="501">
        <v>46113.593865740739</v>
      </c>
      <c r="H267" s="759" t="s">
        <v>284</v>
      </c>
    </row>
    <row r="268" spans="1:8">
      <c r="A268" s="500" t="s">
        <v>1551</v>
      </c>
      <c r="B268" s="500" t="s">
        <v>1205</v>
      </c>
      <c r="C268" s="759" t="s">
        <v>1206</v>
      </c>
      <c r="D268" s="759" t="s">
        <v>1207</v>
      </c>
      <c r="E268" s="500" t="s">
        <v>726</v>
      </c>
      <c r="F268" s="500" t="s">
        <v>726</v>
      </c>
      <c r="G268" s="501">
        <v>46113.593865740739</v>
      </c>
      <c r="H268" s="759" t="s">
        <v>284</v>
      </c>
    </row>
    <row r="269" spans="1:8">
      <c r="A269" s="759" t="s">
        <v>1552</v>
      </c>
      <c r="B269" s="500" t="s">
        <v>1205</v>
      </c>
      <c r="C269" s="759" t="s">
        <v>1209</v>
      </c>
      <c r="D269" s="759" t="s">
        <v>1210</v>
      </c>
      <c r="E269" s="500" t="s">
        <v>726</v>
      </c>
      <c r="F269" s="500" t="s">
        <v>726</v>
      </c>
      <c r="G269" s="501">
        <v>46113.593865740739</v>
      </c>
      <c r="H269" s="759" t="s">
        <v>284</v>
      </c>
    </row>
    <row r="270" spans="1:8">
      <c r="A270" s="759" t="s">
        <v>1553</v>
      </c>
      <c r="B270" s="500" t="s">
        <v>1554</v>
      </c>
      <c r="C270" s="759" t="s">
        <v>1209</v>
      </c>
      <c r="D270" s="759" t="s">
        <v>1210</v>
      </c>
      <c r="E270" s="500" t="s">
        <v>726</v>
      </c>
      <c r="F270" s="500" t="s">
        <v>726</v>
      </c>
      <c r="G270" s="501">
        <v>46113.593865740739</v>
      </c>
      <c r="H270" s="759" t="s">
        <v>284</v>
      </c>
    </row>
    <row r="271" spans="1:8">
      <c r="A271" s="500" t="s">
        <v>1555</v>
      </c>
      <c r="B271" s="500" t="s">
        <v>1205</v>
      </c>
      <c r="C271" s="759" t="s">
        <v>1206</v>
      </c>
      <c r="D271" s="759" t="s">
        <v>1207</v>
      </c>
      <c r="E271" s="500" t="s">
        <v>726</v>
      </c>
      <c r="F271" s="500" t="s">
        <v>726</v>
      </c>
      <c r="G271" s="501">
        <v>46113.593865740739</v>
      </c>
      <c r="H271" s="759" t="s">
        <v>284</v>
      </c>
    </row>
    <row r="272" spans="1:8">
      <c r="A272" s="759" t="s">
        <v>1556</v>
      </c>
      <c r="B272" s="500" t="s">
        <v>1205</v>
      </c>
      <c r="C272" s="759" t="s">
        <v>1209</v>
      </c>
      <c r="D272" s="759" t="s">
        <v>1210</v>
      </c>
      <c r="E272" s="500" t="s">
        <v>726</v>
      </c>
      <c r="F272" s="500" t="s">
        <v>726</v>
      </c>
      <c r="G272" s="501">
        <v>46113.593865740739</v>
      </c>
      <c r="H272" s="759" t="s">
        <v>284</v>
      </c>
    </row>
    <row r="273" spans="1:8">
      <c r="A273" s="759" t="s">
        <v>1557</v>
      </c>
      <c r="B273" s="500" t="s">
        <v>1558</v>
      </c>
      <c r="C273" s="759" t="s">
        <v>1209</v>
      </c>
      <c r="D273" s="759" t="s">
        <v>1210</v>
      </c>
      <c r="E273" s="500" t="s">
        <v>726</v>
      </c>
      <c r="F273" s="500" t="s">
        <v>726</v>
      </c>
      <c r="G273" s="501">
        <v>46113.593865740739</v>
      </c>
      <c r="H273" s="759" t="s">
        <v>284</v>
      </c>
    </row>
    <row r="274" spans="1:8">
      <c r="A274" s="500" t="s">
        <v>1559</v>
      </c>
      <c r="B274" s="500" t="s">
        <v>1205</v>
      </c>
      <c r="C274" s="759" t="s">
        <v>1206</v>
      </c>
      <c r="D274" s="759" t="s">
        <v>1207</v>
      </c>
      <c r="E274" s="500" t="s">
        <v>726</v>
      </c>
      <c r="F274" s="500" t="s">
        <v>726</v>
      </c>
      <c r="G274" s="501">
        <v>46113.593865740739</v>
      </c>
      <c r="H274" s="759" t="s">
        <v>284</v>
      </c>
    </row>
    <row r="275" spans="1:8">
      <c r="A275" s="759" t="s">
        <v>1560</v>
      </c>
      <c r="B275" s="500" t="s">
        <v>1205</v>
      </c>
      <c r="C275" s="759" t="s">
        <v>1209</v>
      </c>
      <c r="D275" s="759" t="s">
        <v>1210</v>
      </c>
      <c r="E275" s="500" t="s">
        <v>726</v>
      </c>
      <c r="F275" s="500" t="s">
        <v>726</v>
      </c>
      <c r="G275" s="501">
        <v>46113.593865740739</v>
      </c>
      <c r="H275" s="759" t="s">
        <v>284</v>
      </c>
    </row>
  </sheetData>
  <sheetProtection autoFilter="0"/>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D32"/>
  <sheetViews>
    <sheetView showGridLines="0" workbookViewId="0">
      <selection sqref="A1:B1"/>
    </sheetView>
  </sheetViews>
  <sheetFormatPr defaultColWidth="9.140625" defaultRowHeight="12.75"/>
  <cols>
    <col min="1" max="1" width="9.140625" style="134"/>
    <col min="2" max="2" width="4.7109375" style="134" customWidth="1"/>
    <col min="3" max="3" width="88.7109375" style="134" customWidth="1"/>
    <col min="4" max="4" width="24.7109375" style="134" customWidth="1"/>
    <col min="5" max="16384" width="9.140625" style="134"/>
  </cols>
  <sheetData>
    <row r="1" spans="1:4" s="90" customFormat="1" ht="18.75" customHeight="1">
      <c r="A1" s="862" t="s">
        <v>48</v>
      </c>
      <c r="B1" s="1049"/>
      <c r="C1" s="768"/>
      <c r="D1" s="768"/>
    </row>
    <row r="3" spans="1:4" ht="25.15" customHeight="1">
      <c r="B3" s="135" t="s">
        <v>1561</v>
      </c>
    </row>
    <row r="4" spans="1:4" s="381" customFormat="1" ht="25.15" customHeight="1">
      <c r="B4" s="382"/>
      <c r="C4" s="383" t="s">
        <v>1562</v>
      </c>
      <c r="D4" s="384"/>
    </row>
    <row r="5" spans="1:4" s="381" customFormat="1" ht="25.15" customHeight="1">
      <c r="B5" s="382"/>
      <c r="C5" s="383" t="s">
        <v>1563</v>
      </c>
      <c r="D5" s="385"/>
    </row>
    <row r="6" spans="1:4" s="381" customFormat="1" ht="25.15" customHeight="1">
      <c r="B6" s="382"/>
    </row>
    <row r="7" spans="1:4" ht="89.25">
      <c r="B7" s="136"/>
      <c r="C7" s="133" t="s">
        <v>1564</v>
      </c>
    </row>
    <row r="8" spans="1:4" ht="63.75">
      <c r="B8" s="136"/>
      <c r="C8" s="133" t="s">
        <v>1565</v>
      </c>
    </row>
    <row r="9" spans="1:4" ht="31.5" customHeight="1">
      <c r="B9" s="136"/>
      <c r="C9" s="133" t="s">
        <v>1566</v>
      </c>
    </row>
    <row r="10" spans="1:4">
      <c r="B10" s="136" t="s">
        <v>1567</v>
      </c>
      <c r="C10" s="133"/>
    </row>
    <row r="11" spans="1:4" ht="63.75" customHeight="1">
      <c r="B11" s="136"/>
      <c r="C11" s="133" t="s">
        <v>1568</v>
      </c>
    </row>
    <row r="12" spans="1:4">
      <c r="B12" s="137" t="s">
        <v>1569</v>
      </c>
      <c r="C12" s="133"/>
    </row>
    <row r="13" spans="1:4">
      <c r="B13" s="136"/>
      <c r="C13" s="133" t="s">
        <v>1570</v>
      </c>
    </row>
    <row r="14" spans="1:4">
      <c r="B14" s="137" t="s">
        <v>1571</v>
      </c>
      <c r="C14" s="133"/>
    </row>
    <row r="15" spans="1:4" ht="38.25">
      <c r="B15" s="136"/>
      <c r="C15" s="133" t="s">
        <v>1572</v>
      </c>
    </row>
    <row r="16" spans="1:4">
      <c r="B16" s="137" t="s">
        <v>1573</v>
      </c>
      <c r="C16" s="138"/>
    </row>
    <row r="17" spans="2:3" ht="43.5" customHeight="1">
      <c r="B17" s="136"/>
      <c r="C17" s="133" t="s">
        <v>1574</v>
      </c>
    </row>
    <row r="18" spans="2:3">
      <c r="B18" s="137" t="s">
        <v>1575</v>
      </c>
      <c r="C18" s="138"/>
    </row>
    <row r="19" spans="2:3" ht="131.44999999999999" customHeight="1">
      <c r="B19" s="136"/>
      <c r="C19" s="133" t="s">
        <v>1576</v>
      </c>
    </row>
    <row r="20" spans="2:3" ht="25.5">
      <c r="B20" s="136"/>
      <c r="C20" s="133" t="s">
        <v>1577</v>
      </c>
    </row>
    <row r="21" spans="2:3">
      <c r="B21" s="137" t="s">
        <v>1578</v>
      </c>
      <c r="C21" s="138"/>
    </row>
    <row r="22" spans="2:3" ht="63.75">
      <c r="B22" s="136"/>
      <c r="C22" s="133" t="s">
        <v>1579</v>
      </c>
    </row>
    <row r="23" spans="2:3">
      <c r="B23" s="137" t="s">
        <v>1580</v>
      </c>
      <c r="C23" s="138"/>
    </row>
    <row r="24" spans="2:3" ht="73.900000000000006" customHeight="1">
      <c r="B24" s="136"/>
      <c r="C24" s="133" t="s">
        <v>1581</v>
      </c>
    </row>
    <row r="25" spans="2:3">
      <c r="B25" s="137" t="s">
        <v>1582</v>
      </c>
      <c r="C25" s="138"/>
    </row>
    <row r="26" spans="2:3" ht="185.45" customHeight="1">
      <c r="B26" s="136"/>
      <c r="C26" s="133" t="s">
        <v>1583</v>
      </c>
    </row>
    <row r="27" spans="2:3">
      <c r="B27" s="137" t="s">
        <v>1584</v>
      </c>
      <c r="C27" s="138"/>
    </row>
    <row r="28" spans="2:3" ht="51">
      <c r="B28" s="136"/>
      <c r="C28" s="133" t="s">
        <v>1585</v>
      </c>
    </row>
    <row r="30" spans="2:3">
      <c r="B30" s="1050" t="s">
        <v>1586</v>
      </c>
      <c r="C30" s="1051"/>
    </row>
    <row r="32" spans="2:3">
      <c r="B32" s="1052" t="s">
        <v>1587</v>
      </c>
      <c r="C32" s="1053"/>
    </row>
  </sheetData>
  <sheetProtection algorithmName="SHA-512" hashValue="NE3e/3TdEwQv1WsfT1Zd998RpkKYp8gub59TChFx9IyFO3zDrimtACQuPY/UTHqjY6ccCzaNAp8qvIJO9AaVhw==" saltValue="lBca47GFKgQOzPeFORYedQ==" spinCount="100000" sheet="1" autoFilter="0"/>
  <mergeCells count="3">
    <mergeCell ref="A1:B1"/>
    <mergeCell ref="B30:C30"/>
    <mergeCell ref="B32:C32"/>
  </mergeCells>
  <hyperlinks>
    <hyperlink ref="A1" location="Index!A1" display="&lt; Return to Index" xr:uid="{00000000-0004-0000-1400-000000000000}"/>
    <hyperlink ref="B30" r:id="rId1" display="Cost guidance in DEB Newsletter &gt;" xr:uid="{00000000-0004-0000-1400-000001000000}"/>
    <hyperlink ref="B32:C32" r:id="rId2" display="CR-1 Cost Calculation Guidance" xr:uid="{00000000-0004-0000-1400-000002000000}"/>
  </hyperlinks>
  <pageMargins left="0.7" right="0.7" top="0.75" bottom="0.75" header="0.3" footer="0.3"/>
  <pageSetup scale="98" fitToHeight="2" orientation="portrait" r:id="rId3"/>
  <rowBreaks count="1" manualBreakCount="1">
    <brk id="24" min="1" max="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G39"/>
  <sheetViews>
    <sheetView showGridLines="0" zoomScale="40" zoomScaleNormal="40" workbookViewId="0">
      <selection sqref="A1:G1"/>
    </sheetView>
  </sheetViews>
  <sheetFormatPr defaultColWidth="9.140625" defaultRowHeight="12.75"/>
  <sheetData>
    <row r="1" spans="1:7" s="91" customFormat="1" ht="48.75" customHeight="1">
      <c r="A1" s="1054" t="s">
        <v>48</v>
      </c>
      <c r="B1" s="1055"/>
      <c r="C1" s="1055"/>
      <c r="D1" s="1055"/>
      <c r="E1" s="1055"/>
      <c r="F1" s="1055"/>
      <c r="G1" s="1055"/>
    </row>
    <row r="3" spans="1:7" ht="81" customHeight="1">
      <c r="A3" s="759"/>
      <c r="B3" s="759"/>
      <c r="C3" s="63" t="s">
        <v>1588</v>
      </c>
      <c r="D3" s="759"/>
      <c r="E3" s="759"/>
      <c r="F3" s="759"/>
      <c r="G3" s="759"/>
    </row>
    <row r="39" ht="56.25" customHeight="1"/>
  </sheetData>
  <sheetProtection algorithmName="SHA-512" hashValue="OsnVynwKE7ZGtIiDrbsP4HCELlbsVMtTdinbmrJbU0S6dj2phyb68q85SKNlRViUWkdFqxU4IQC3lVuR63UIXA==" saltValue="vqYavuEfon4EfWfPFSx92w==" spinCount="100000" sheet="1" autoFilter="0"/>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3157D-2107-4DF3-B347-4089A30C6222}">
  <sheetPr codeName="Sheet30">
    <tabColor rgb="FF002060"/>
  </sheetPr>
  <dimension ref="B3:G7"/>
  <sheetViews>
    <sheetView showGridLines="0" workbookViewId="0"/>
  </sheetViews>
  <sheetFormatPr defaultColWidth="9.140625" defaultRowHeight="15"/>
  <cols>
    <col min="1" max="1" width="9.140625" style="478"/>
    <col min="2" max="2" width="6.42578125" style="478" customWidth="1"/>
    <col min="3" max="3" width="11.7109375" style="478" customWidth="1"/>
    <col min="4" max="4" width="26.140625" style="478" customWidth="1"/>
    <col min="5" max="5" width="102.7109375" style="478" customWidth="1"/>
    <col min="6" max="6" width="15.85546875" style="478" customWidth="1"/>
    <col min="7" max="7" width="15.28515625" style="478" customWidth="1"/>
    <col min="8" max="16384" width="9.140625" style="478"/>
  </cols>
  <sheetData>
    <row r="3" spans="2:7" ht="31.5" customHeight="1">
      <c r="B3" s="476" t="s">
        <v>565</v>
      </c>
      <c r="C3" s="476" t="s">
        <v>1589</v>
      </c>
      <c r="D3" s="476" t="s">
        <v>1590</v>
      </c>
      <c r="E3" s="476" t="s">
        <v>302</v>
      </c>
      <c r="F3" s="477" t="s">
        <v>1591</v>
      </c>
      <c r="G3" s="477" t="s">
        <v>1592</v>
      </c>
    </row>
    <row r="4" spans="2:7">
      <c r="B4" s="479">
        <f>ROW()-ROW($B$3)</f>
        <v>1</v>
      </c>
      <c r="C4" s="480"/>
      <c r="D4" s="480"/>
      <c r="E4" s="481"/>
      <c r="F4" s="482"/>
      <c r="G4" s="482"/>
    </row>
    <row r="5" spans="2:7">
      <c r="B5" s="479">
        <f>ROW()-ROW($B$3)</f>
        <v>2</v>
      </c>
      <c r="C5" s="480"/>
      <c r="D5" s="480"/>
      <c r="E5" s="481"/>
      <c r="F5" s="482"/>
      <c r="G5" s="482"/>
    </row>
    <row r="6" spans="2:7">
      <c r="B6" s="479">
        <f>ROW()-ROW($B$3)</f>
        <v>3</v>
      </c>
      <c r="C6" s="480"/>
      <c r="D6" s="480"/>
      <c r="E6" s="481"/>
      <c r="F6" s="482"/>
      <c r="G6" s="482"/>
    </row>
    <row r="7" spans="2:7">
      <c r="B7" s="479">
        <f>ROW()-ROW($B$3)</f>
        <v>4</v>
      </c>
      <c r="C7" s="480"/>
      <c r="D7" s="480"/>
      <c r="E7" s="481"/>
      <c r="F7" s="482"/>
      <c r="G7" s="482"/>
    </row>
  </sheetData>
  <sheetProtection autoFilter="0"/>
  <conditionalFormatting sqref="F4:F7">
    <cfRule type="containsText" dxfId="13" priority="4" operator="containsText" text="Rejected">
      <formula>NOT(ISERROR(SEARCH("Rejected",F4)))</formula>
    </cfRule>
    <cfRule type="containsText" dxfId="12" priority="5" operator="containsText" text="To be Done">
      <formula>NOT(ISERROR(SEARCH("To be Done",F4)))</formula>
    </cfRule>
    <cfRule type="containsText" dxfId="11" priority="6" operator="containsText" text="Done">
      <formula>NOT(ISERROR(SEARCH("Done",F4)))</formula>
    </cfRule>
  </conditionalFormatting>
  <conditionalFormatting sqref="G4:G7">
    <cfRule type="containsText" dxfId="10" priority="1" operator="containsText" text="Every Update">
      <formula>NOT(ISERROR(SEARCH("Every Update",G4)))</formula>
    </cfRule>
    <cfRule type="containsText" dxfId="9" priority="2" operator="containsText" text="Yearly">
      <formula>NOT(ISERROR(SEARCH("Yearly",G4)))</formula>
    </cfRule>
    <cfRule type="containsText" dxfId="8" priority="3" operator="containsText" text="One Time">
      <formula>NOT(ISERROR(SEARCH("One Time",G4)))</formula>
    </cfRule>
  </conditionalFormatting>
  <dataValidations count="2">
    <dataValidation type="list" allowBlank="1" showInputMessage="1" showErrorMessage="1" sqref="G4:G7" xr:uid="{E491C2B1-4187-4952-8745-75AC8611AB53}">
      <formula1>"Never, One Time, Yearly, Every Update"</formula1>
    </dataValidation>
    <dataValidation type="list" allowBlank="1" showInputMessage="1" showErrorMessage="1" sqref="F4:F7" xr:uid="{E8450471-A752-4585-995C-8FA08ECB1A68}">
      <formula1>"Rejected, To be Done, Done"</formula1>
    </dataValidation>
  </dataValidation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F2E7-ED3B-4478-8CED-79301C8FA491}">
  <sheetPr codeName="Sheet28"/>
  <dimension ref="A1:P96"/>
  <sheetViews>
    <sheetView showGridLines="0" topLeftCell="A3" workbookViewId="0">
      <selection activeCell="C6" sqref="C6"/>
    </sheetView>
  </sheetViews>
  <sheetFormatPr defaultColWidth="9.42578125" defaultRowHeight="12.75"/>
  <cols>
    <col min="1" max="1" width="13" style="440" customWidth="1"/>
    <col min="2" max="2" width="18.85546875" style="436" customWidth="1"/>
    <col min="3" max="3" width="42.7109375" style="437" customWidth="1"/>
    <col min="4" max="4" width="17.7109375" style="437" customWidth="1"/>
    <col min="5" max="5" width="32.5703125" style="437" customWidth="1"/>
    <col min="6" max="6" width="72.140625" style="437" customWidth="1"/>
    <col min="7" max="7" width="9.42578125" style="439"/>
    <col min="8" max="8" width="24" style="439" customWidth="1"/>
    <col min="9" max="16384" width="9.42578125" style="439"/>
  </cols>
  <sheetData>
    <row r="1" spans="1:6" ht="24.75" customHeight="1">
      <c r="A1" s="435" t="s">
        <v>1593</v>
      </c>
      <c r="C1" s="791"/>
      <c r="D1" s="791"/>
      <c r="E1" s="438" t="s">
        <v>1594</v>
      </c>
      <c r="F1" s="791"/>
    </row>
    <row r="2" spans="1:6">
      <c r="A2" s="440" t="s">
        <v>1595</v>
      </c>
      <c r="C2" s="791"/>
      <c r="D2" s="791"/>
      <c r="E2" s="791"/>
      <c r="F2" s="791"/>
    </row>
    <row r="3" spans="1:6" s="50" customFormat="1" ht="21.75" customHeight="1" thickBot="1">
      <c r="A3" s="758"/>
      <c r="B3" s="758"/>
      <c r="C3" s="758"/>
      <c r="D3" s="758"/>
      <c r="E3" s="758"/>
      <c r="F3" s="758"/>
    </row>
    <row r="4" spans="1:6" ht="30.75" customHeight="1" thickTop="1" thickBot="1">
      <c r="A4" s="441" t="s">
        <v>1596</v>
      </c>
      <c r="B4" s="442" t="s">
        <v>1597</v>
      </c>
      <c r="C4" s="443" t="s">
        <v>1598</v>
      </c>
      <c r="D4" s="443" t="s">
        <v>1599</v>
      </c>
      <c r="E4" s="443" t="s">
        <v>1600</v>
      </c>
      <c r="F4" s="444" t="s">
        <v>1601</v>
      </c>
    </row>
    <row r="5" spans="1:6" ht="12.75" customHeight="1" thickTop="1">
      <c r="A5" s="1263"/>
      <c r="B5" s="1264"/>
      <c r="C5" s="1265"/>
      <c r="D5" s="1265"/>
      <c r="E5" s="1265"/>
      <c r="F5" s="1265"/>
    </row>
    <row r="6" spans="1:6" ht="40.5" customHeight="1">
      <c r="A6" s="740">
        <v>46176</v>
      </c>
      <c r="B6" s="799" t="s">
        <v>1602</v>
      </c>
      <c r="C6" s="1265" t="s">
        <v>1603</v>
      </c>
      <c r="D6" s="1265"/>
      <c r="E6" s="1265"/>
      <c r="F6" s="1265"/>
    </row>
    <row r="7" spans="1:6" ht="34.5" customHeight="1">
      <c r="A7" s="740">
        <v>46149</v>
      </c>
      <c r="B7" s="1058" t="s">
        <v>1604</v>
      </c>
      <c r="C7" s="1265" t="s">
        <v>1605</v>
      </c>
      <c r="D7" s="1265" t="s">
        <v>1606</v>
      </c>
      <c r="E7" s="1265" t="s">
        <v>1607</v>
      </c>
      <c r="F7" s="1265" t="s">
        <v>1608</v>
      </c>
    </row>
    <row r="8" spans="1:6" ht="71.25" customHeight="1">
      <c r="A8" s="740">
        <v>46113</v>
      </c>
      <c r="B8" s="1059"/>
      <c r="C8" s="1265" t="s">
        <v>1609</v>
      </c>
      <c r="D8" s="1265" t="s">
        <v>1606</v>
      </c>
      <c r="E8" s="1265" t="s">
        <v>1610</v>
      </c>
      <c r="F8" s="1265" t="s">
        <v>1611</v>
      </c>
    </row>
    <row r="9" spans="1:6" ht="31.9" customHeight="1">
      <c r="A9" s="1056">
        <v>45750</v>
      </c>
      <c r="B9" s="1058" t="s">
        <v>1612</v>
      </c>
      <c r="C9" s="1265" t="s">
        <v>1613</v>
      </c>
      <c r="D9" s="1265"/>
      <c r="E9" s="1265" t="s">
        <v>1614</v>
      </c>
      <c r="F9" s="1265" t="s">
        <v>1611</v>
      </c>
    </row>
    <row r="10" spans="1:6" ht="46.15" customHeight="1">
      <c r="A10" s="1057"/>
      <c r="B10" s="1059"/>
      <c r="C10" s="1265" t="s">
        <v>1615</v>
      </c>
      <c r="D10" s="1265"/>
      <c r="E10" s="1265" t="s">
        <v>18</v>
      </c>
      <c r="F10" s="1265" t="s">
        <v>1616</v>
      </c>
    </row>
    <row r="11" spans="1:6" ht="61.7" customHeight="1">
      <c r="A11" s="1263">
        <v>45845</v>
      </c>
      <c r="B11" s="741" t="s">
        <v>1617</v>
      </c>
      <c r="C11" s="1265" t="s">
        <v>1618</v>
      </c>
      <c r="D11" s="1265"/>
      <c r="E11" s="1265" t="s">
        <v>1619</v>
      </c>
      <c r="F11" s="1265"/>
    </row>
    <row r="12" spans="1:6" ht="29.45" customHeight="1">
      <c r="A12" s="1263"/>
      <c r="B12" s="1264"/>
      <c r="C12" s="1265"/>
      <c r="D12" s="1265"/>
      <c r="E12" s="1265"/>
      <c r="F12" s="1265"/>
    </row>
    <row r="13" spans="1:6" ht="29.45" customHeight="1">
      <c r="A13" s="1263"/>
      <c r="B13" s="1264"/>
      <c r="C13" s="1265"/>
      <c r="D13" s="1265"/>
      <c r="E13" s="1265"/>
      <c r="F13" s="1265"/>
    </row>
    <row r="14" spans="1:6" ht="33.6" customHeight="1">
      <c r="A14" s="1263"/>
      <c r="B14" s="1264"/>
      <c r="C14" s="1265"/>
      <c r="D14" s="1265"/>
      <c r="E14" s="1265"/>
      <c r="F14" s="1265"/>
    </row>
    <row r="15" spans="1:6" ht="33.6" customHeight="1">
      <c r="A15" s="1263"/>
      <c r="B15" s="1264"/>
      <c r="C15" s="1265"/>
      <c r="D15" s="1265"/>
      <c r="E15" s="1265"/>
      <c r="F15" s="1265"/>
    </row>
    <row r="16" spans="1:6" ht="27" customHeight="1">
      <c r="A16" s="1263"/>
      <c r="B16" s="1264"/>
      <c r="C16" s="1265"/>
      <c r="D16" s="1265"/>
      <c r="E16" s="1265"/>
      <c r="F16" s="1265"/>
    </row>
    <row r="17" spans="1:6" ht="36.75" customHeight="1">
      <c r="A17" s="1263"/>
      <c r="B17" s="1264"/>
      <c r="C17" s="1265"/>
      <c r="D17" s="1265"/>
      <c r="E17" s="1265"/>
      <c r="F17" s="1265"/>
    </row>
    <row r="18" spans="1:6" ht="50.1" customHeight="1">
      <c r="A18" s="1263"/>
      <c r="B18" s="1264"/>
      <c r="C18" s="1265"/>
      <c r="D18" s="1265"/>
      <c r="E18" s="1265"/>
      <c r="F18" s="1265"/>
    </row>
    <row r="19" spans="1:6" ht="45.6" customHeight="1">
      <c r="A19" s="1263"/>
      <c r="B19" s="1264"/>
      <c r="C19" s="1265"/>
      <c r="D19" s="1265"/>
      <c r="E19" s="1265"/>
      <c r="F19" s="1265"/>
    </row>
    <row r="20" spans="1:6" ht="47.1" customHeight="1">
      <c r="A20" s="1263"/>
      <c r="B20" s="1264"/>
      <c r="C20" s="1265"/>
      <c r="D20" s="1265"/>
      <c r="E20" s="1265"/>
      <c r="F20" s="1265"/>
    </row>
    <row r="21" spans="1:6" ht="51.75" customHeight="1">
      <c r="A21" s="1263"/>
      <c r="B21" s="1264"/>
      <c r="C21" s="1265"/>
      <c r="D21" s="1265"/>
      <c r="E21" s="1265"/>
      <c r="F21" s="1265"/>
    </row>
    <row r="22" spans="1:6" ht="55.35" customHeight="1">
      <c r="A22" s="1263"/>
      <c r="B22" s="1264"/>
      <c r="C22" s="1265"/>
      <c r="D22" s="1265"/>
      <c r="E22" s="1265"/>
      <c r="F22" s="1266"/>
    </row>
    <row r="23" spans="1:6" ht="45.6" customHeight="1">
      <c r="A23" s="1263"/>
      <c r="B23" s="1264"/>
      <c r="C23" s="1265"/>
      <c r="D23" s="1265"/>
      <c r="E23" s="1265"/>
      <c r="F23" s="1267"/>
    </row>
    <row r="24" spans="1:6" ht="45.6" customHeight="1">
      <c r="A24" s="1263"/>
      <c r="B24" s="1264"/>
      <c r="C24" s="1265"/>
      <c r="D24" s="1265"/>
      <c r="E24" s="1265"/>
      <c r="F24" s="1265"/>
    </row>
    <row r="25" spans="1:6" ht="60" customHeight="1">
      <c r="A25" s="1263"/>
      <c r="B25" s="1264"/>
      <c r="C25" s="1265"/>
      <c r="D25" s="1265"/>
      <c r="E25" s="1265"/>
      <c r="F25" s="1265"/>
    </row>
    <row r="26" spans="1:6" ht="70.5" customHeight="1">
      <c r="A26" s="1263"/>
      <c r="B26" s="1264"/>
      <c r="C26" s="1265"/>
      <c r="D26" s="1265"/>
      <c r="E26" s="1265"/>
      <c r="F26" s="1265"/>
    </row>
    <row r="27" spans="1:6" ht="93.75" customHeight="1">
      <c r="A27" s="1263"/>
      <c r="B27" s="1264"/>
      <c r="C27" s="1265"/>
      <c r="D27" s="1265"/>
      <c r="E27" s="1265"/>
      <c r="F27" s="1265"/>
    </row>
    <row r="28" spans="1:6" ht="30.75" customHeight="1">
      <c r="A28" s="1263"/>
      <c r="B28" s="1268"/>
      <c r="C28" s="1265"/>
      <c r="D28" s="1265"/>
      <c r="E28" s="1265"/>
      <c r="F28" s="1265"/>
    </row>
    <row r="29" spans="1:6" ht="30.75" customHeight="1">
      <c r="A29" s="1263"/>
      <c r="B29" s="1268"/>
      <c r="C29" s="1265"/>
      <c r="D29" s="1265"/>
      <c r="E29" s="1265"/>
      <c r="F29" s="1265"/>
    </row>
    <row r="30" spans="1:6" ht="50.25" customHeight="1">
      <c r="A30" s="1263"/>
      <c r="B30" s="1268"/>
      <c r="C30" s="1265"/>
      <c r="D30" s="1265"/>
      <c r="E30" s="1265"/>
      <c r="F30" s="1265"/>
    </row>
    <row r="31" spans="1:6" ht="30.75" customHeight="1">
      <c r="A31" s="1263"/>
      <c r="B31" s="1269"/>
      <c r="C31" s="1270"/>
      <c r="D31" s="1270"/>
      <c r="E31" s="1270"/>
      <c r="F31" s="1270"/>
    </row>
    <row r="32" spans="1:6" ht="30.75" customHeight="1">
      <c r="A32" s="1263"/>
      <c r="B32" s="1268"/>
      <c r="C32" s="1265"/>
      <c r="D32" s="1265"/>
      <c r="E32" s="1265"/>
      <c r="F32" s="1265"/>
    </row>
    <row r="33" spans="1:6" ht="30.75" customHeight="1">
      <c r="A33" s="1263"/>
      <c r="B33" s="1268"/>
      <c r="C33" s="1265"/>
      <c r="D33" s="1265"/>
      <c r="E33" s="1265"/>
      <c r="F33" s="1265"/>
    </row>
    <row r="34" spans="1:6" ht="30.75" customHeight="1">
      <c r="A34" s="1263"/>
      <c r="B34" s="1268"/>
      <c r="C34" s="1265"/>
      <c r="D34" s="1265"/>
      <c r="E34" s="1265"/>
      <c r="F34" s="1265"/>
    </row>
    <row r="35" spans="1:6" ht="30.75" customHeight="1">
      <c r="A35" s="1263"/>
      <c r="B35" s="1268"/>
      <c r="C35" s="1265"/>
      <c r="D35" s="1265"/>
      <c r="E35" s="1265"/>
      <c r="F35" s="1265"/>
    </row>
    <row r="36" spans="1:6" ht="30.75" customHeight="1">
      <c r="A36" s="1263"/>
      <c r="B36" s="1268"/>
      <c r="C36" s="1271"/>
      <c r="D36" s="1271"/>
      <c r="E36" s="1272"/>
      <c r="F36" s="1265"/>
    </row>
    <row r="37" spans="1:6" ht="30.75" customHeight="1">
      <c r="A37" s="1263"/>
      <c r="B37" s="1268"/>
      <c r="C37" s="1265"/>
      <c r="D37" s="1265"/>
      <c r="E37" s="1265"/>
      <c r="F37" s="1265"/>
    </row>
    <row r="38" spans="1:6" ht="51" customHeight="1">
      <c r="A38" s="1263"/>
      <c r="B38" s="1268"/>
      <c r="C38" s="1265"/>
      <c r="D38" s="1265"/>
      <c r="E38" s="1265"/>
      <c r="F38" s="1265"/>
    </row>
    <row r="39" spans="1:6" ht="42" customHeight="1">
      <c r="A39" s="1263"/>
      <c r="B39" s="1268"/>
      <c r="C39" s="1265"/>
      <c r="D39" s="1265"/>
      <c r="E39" s="1265"/>
      <c r="F39" s="1265"/>
    </row>
    <row r="40" spans="1:6" ht="56.25" customHeight="1">
      <c r="A40" s="1263"/>
      <c r="B40" s="1268"/>
      <c r="C40" s="1265"/>
      <c r="D40" s="1265"/>
      <c r="E40" s="1265"/>
      <c r="F40" s="1265"/>
    </row>
    <row r="41" spans="1:6" ht="30.75" customHeight="1">
      <c r="C41" s="791"/>
      <c r="D41" s="791"/>
      <c r="E41" s="791"/>
      <c r="F41" s="791"/>
    </row>
    <row r="42" spans="1:6" ht="30.75" customHeight="1">
      <c r="C42" s="791"/>
      <c r="D42" s="791"/>
      <c r="E42" s="791"/>
      <c r="F42" s="791"/>
    </row>
    <row r="43" spans="1:6" ht="30.75" customHeight="1">
      <c r="C43" s="791"/>
      <c r="D43" s="791"/>
      <c r="E43" s="791"/>
      <c r="F43" s="791"/>
    </row>
    <row r="44" spans="1:6" ht="58.5" customHeight="1">
      <c r="C44" s="446"/>
      <c r="D44" s="446"/>
      <c r="E44" s="791"/>
      <c r="F44" s="791"/>
    </row>
    <row r="45" spans="1:6" ht="30.75" customHeight="1">
      <c r="C45" s="791"/>
      <c r="D45" s="791"/>
      <c r="E45" s="791"/>
      <c r="F45" s="791"/>
    </row>
    <row r="46" spans="1:6" s="448" customFormat="1" ht="30.75" customHeight="1">
      <c r="A46" s="440"/>
      <c r="B46" s="436"/>
      <c r="C46" s="791"/>
      <c r="D46" s="791"/>
      <c r="E46" s="791"/>
      <c r="F46" s="447"/>
    </row>
    <row r="47" spans="1:6" s="448" customFormat="1" ht="30.75" customHeight="1">
      <c r="A47" s="440"/>
      <c r="B47" s="436"/>
      <c r="C47" s="791"/>
      <c r="D47" s="791"/>
      <c r="E47" s="791"/>
      <c r="F47" s="447"/>
    </row>
    <row r="48" spans="1:6" s="448" customFormat="1" ht="54.75" customHeight="1">
      <c r="A48" s="440"/>
      <c r="B48" s="436"/>
      <c r="C48" s="791"/>
      <c r="D48" s="791"/>
      <c r="E48" s="791"/>
      <c r="F48" s="447"/>
    </row>
    <row r="49" spans="3:4" ht="30.75" customHeight="1">
      <c r="C49" s="791"/>
      <c r="D49" s="791"/>
    </row>
    <row r="50" spans="3:4" ht="30.75" customHeight="1">
      <c r="C50" s="791"/>
      <c r="D50" s="791"/>
    </row>
    <row r="51" spans="3:4" ht="30.75" customHeight="1">
      <c r="C51" s="791"/>
      <c r="D51" s="791"/>
    </row>
    <row r="52" spans="3:4" ht="30.75" customHeight="1">
      <c r="C52" s="791"/>
      <c r="D52" s="791"/>
    </row>
    <row r="53" spans="3:4" ht="30.75" customHeight="1">
      <c r="C53" s="791"/>
      <c r="D53" s="791"/>
    </row>
    <row r="54" spans="3:4" ht="43.5" customHeight="1">
      <c r="C54" s="791"/>
      <c r="D54" s="791"/>
    </row>
    <row r="55" spans="3:4" ht="39" customHeight="1">
      <c r="C55" s="791"/>
      <c r="D55" s="791"/>
    </row>
    <row r="56" spans="3:4" ht="26.25" customHeight="1">
      <c r="C56" s="791"/>
      <c r="D56" s="791"/>
    </row>
    <row r="57" spans="3:4" ht="81.75" customHeight="1">
      <c r="C57" s="791"/>
      <c r="D57" s="791"/>
    </row>
    <row r="58" spans="3:4" ht="26.25" customHeight="1">
      <c r="C58" s="791"/>
      <c r="D58" s="791"/>
    </row>
    <row r="59" spans="3:4" ht="132" customHeight="1">
      <c r="C59" s="791"/>
      <c r="D59" s="791"/>
    </row>
    <row r="60" spans="3:4" ht="26.25" customHeight="1">
      <c r="C60" s="791"/>
      <c r="D60" s="791"/>
    </row>
    <row r="61" spans="3:4" ht="26.25" customHeight="1">
      <c r="C61" s="791"/>
      <c r="D61" s="791"/>
    </row>
    <row r="62" spans="3:4" ht="26.25" customHeight="1">
      <c r="C62" s="445"/>
      <c r="D62" s="445"/>
    </row>
    <row r="63" spans="3:4" ht="26.25" customHeight="1">
      <c r="C63" s="791"/>
      <c r="D63" s="791"/>
    </row>
    <row r="64" spans="3:4" ht="26.25" customHeight="1">
      <c r="C64" s="791"/>
      <c r="D64" s="791"/>
    </row>
    <row r="65" ht="26.25" customHeight="1"/>
    <row r="66" ht="36.75" customHeight="1"/>
    <row r="67" ht="26.25" customHeight="1"/>
    <row r="68" ht="26.25" customHeight="1"/>
    <row r="69" ht="26.25" customHeight="1"/>
    <row r="70" ht="39.7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99.75" customHeight="1"/>
    <row r="81" spans="1:16" ht="26.25" customHeight="1">
      <c r="C81" s="791"/>
      <c r="D81" s="791"/>
      <c r="E81" s="791"/>
      <c r="F81" s="791"/>
    </row>
    <row r="82" spans="1:16" ht="26.25" customHeight="1">
      <c r="C82" s="791"/>
      <c r="D82" s="791"/>
      <c r="E82" s="791"/>
      <c r="F82" s="791"/>
    </row>
    <row r="83" spans="1:16" ht="26.25" customHeight="1">
      <c r="C83" s="791"/>
      <c r="D83" s="791"/>
      <c r="E83" s="791"/>
      <c r="F83" s="791"/>
    </row>
    <row r="84" spans="1:16" ht="26.25" customHeight="1">
      <c r="C84" s="791"/>
      <c r="D84" s="791"/>
      <c r="E84" s="791"/>
      <c r="F84" s="791"/>
    </row>
    <row r="85" spans="1:16" ht="26.25" customHeight="1">
      <c r="C85" s="791"/>
      <c r="D85" s="791"/>
      <c r="E85" s="791"/>
      <c r="F85" s="791"/>
    </row>
    <row r="86" spans="1:16" ht="25.5" customHeight="1">
      <c r="C86" s="791"/>
      <c r="D86" s="791"/>
      <c r="E86" s="791"/>
      <c r="F86" s="791"/>
    </row>
    <row r="87" spans="1:16" ht="43.5" customHeight="1">
      <c r="C87" s="791"/>
      <c r="D87" s="791"/>
      <c r="E87" s="791"/>
      <c r="F87" s="791"/>
    </row>
    <row r="88" spans="1:16" ht="25.5" customHeight="1">
      <c r="C88" s="791"/>
      <c r="D88" s="791"/>
      <c r="E88" s="791"/>
      <c r="F88" s="791"/>
    </row>
    <row r="89" spans="1:16" ht="24" customHeight="1">
      <c r="C89" s="791"/>
      <c r="D89" s="791"/>
      <c r="E89" s="791"/>
      <c r="F89" s="791"/>
    </row>
    <row r="90" spans="1:16" s="448" customFormat="1" ht="38.25" customHeight="1">
      <c r="A90" s="440"/>
      <c r="B90" s="436"/>
      <c r="C90" s="791"/>
      <c r="D90" s="791"/>
      <c r="E90" s="791"/>
      <c r="F90" s="447"/>
    </row>
    <row r="93" spans="1:16" s="437" customFormat="1">
      <c r="A93" s="440"/>
      <c r="B93" s="436"/>
      <c r="C93" s="791"/>
      <c r="D93" s="791"/>
      <c r="E93" s="791"/>
      <c r="F93" s="791"/>
      <c r="G93" s="439"/>
      <c r="H93" s="439"/>
      <c r="I93" s="439"/>
      <c r="J93" s="439"/>
      <c r="K93" s="439"/>
      <c r="L93" s="439"/>
      <c r="M93" s="439"/>
      <c r="N93" s="439"/>
      <c r="O93" s="439"/>
      <c r="P93" s="439"/>
    </row>
    <row r="94" spans="1:16" s="437" customFormat="1">
      <c r="A94" s="440"/>
      <c r="B94" s="436"/>
      <c r="C94" s="791"/>
      <c r="D94" s="791"/>
      <c r="E94" s="791"/>
      <c r="F94" s="791"/>
      <c r="G94" s="439"/>
      <c r="H94" s="439"/>
      <c r="I94" s="439"/>
      <c r="J94" s="439"/>
      <c r="K94" s="439"/>
      <c r="L94" s="439"/>
      <c r="M94" s="439"/>
      <c r="N94" s="439"/>
      <c r="O94" s="439"/>
      <c r="P94" s="439"/>
    </row>
    <row r="95" spans="1:16" s="437" customFormat="1">
      <c r="A95" s="440"/>
      <c r="B95" s="436"/>
      <c r="C95" s="791"/>
      <c r="D95" s="791"/>
      <c r="E95" s="791"/>
      <c r="F95" s="791"/>
      <c r="G95" s="439"/>
      <c r="H95" s="439"/>
      <c r="I95" s="439"/>
      <c r="J95" s="439"/>
      <c r="K95" s="439"/>
      <c r="L95" s="439"/>
      <c r="M95" s="439"/>
      <c r="N95" s="439"/>
      <c r="O95" s="439"/>
      <c r="P95" s="439"/>
    </row>
    <row r="96" spans="1:16" s="437" customFormat="1">
      <c r="A96" s="440"/>
      <c r="B96" s="436"/>
      <c r="C96" s="791"/>
      <c r="D96" s="791"/>
      <c r="E96" s="791"/>
      <c r="F96" s="791"/>
      <c r="G96" s="439"/>
      <c r="H96" s="439"/>
      <c r="I96" s="439"/>
      <c r="J96" s="439"/>
      <c r="K96" s="439"/>
      <c r="L96" s="439"/>
      <c r="M96" s="439"/>
      <c r="N96" s="439"/>
      <c r="O96" s="439"/>
      <c r="P96" s="439"/>
    </row>
  </sheetData>
  <sheetProtection autoFilter="0"/>
  <mergeCells count="4">
    <mergeCell ref="A9:A10"/>
    <mergeCell ref="B9:B10"/>
    <mergeCell ref="B31:F31"/>
    <mergeCell ref="B7:B8"/>
  </mergeCells>
  <hyperlinks>
    <hyperlink ref="E1" location="Index!A1" display="INDEX" xr:uid="{34B1D7E4-1185-46DD-8A16-059CB81B9E63}"/>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G174"/>
  <sheetViews>
    <sheetView showGridLines="0" topLeftCell="A28" workbookViewId="0">
      <selection activeCell="L6" sqref="L6"/>
    </sheetView>
  </sheetViews>
  <sheetFormatPr defaultColWidth="9.140625" defaultRowHeight="15" customHeight="1"/>
  <cols>
    <col min="1" max="1" width="11.85546875" style="3" customWidth="1"/>
    <col min="2" max="2" width="45.7109375" style="3" customWidth="1"/>
    <col min="3" max="4" width="26" style="3" customWidth="1"/>
    <col min="5" max="5" width="24.42578125" style="3" customWidth="1"/>
    <col min="6" max="6" width="4.7109375" style="3" customWidth="1"/>
    <col min="7" max="7" width="12.85546875" style="140" customWidth="1"/>
    <col min="8" max="8" width="16.85546875" style="140" customWidth="1"/>
    <col min="9" max="14" width="12.85546875" style="140" customWidth="1"/>
    <col min="15" max="15" width="23" style="3" customWidth="1"/>
    <col min="16" max="19" width="9.7109375" style="3" customWidth="1"/>
    <col min="20" max="20" width="25.85546875" style="3" customWidth="1"/>
    <col min="21" max="21" width="27.28515625" style="3" customWidth="1"/>
    <col min="22" max="22" width="25.85546875" style="3" customWidth="1"/>
    <col min="23" max="29" width="9.140625" style="3" customWidth="1"/>
    <col min="30" max="30" width="14.7109375" style="3" hidden="1" customWidth="1"/>
    <col min="31" max="31" width="21.85546875" style="5" hidden="1" customWidth="1"/>
    <col min="32" max="32" width="17.7109375" style="3" customWidth="1"/>
    <col min="33" max="33" width="40.28515625" style="5" customWidth="1"/>
    <col min="34" max="34" width="31" style="3" customWidth="1"/>
    <col min="35" max="16384" width="9.140625" style="3"/>
  </cols>
  <sheetData>
    <row r="1" spans="1:33" s="92" customFormat="1" ht="21.95" customHeight="1">
      <c r="A1" s="862" t="s">
        <v>48</v>
      </c>
      <c r="B1" s="863"/>
      <c r="G1" s="191"/>
      <c r="H1" s="191"/>
      <c r="I1" s="191"/>
      <c r="J1" s="191"/>
      <c r="K1" s="191"/>
      <c r="L1" s="191"/>
      <c r="M1" s="191"/>
      <c r="N1" s="191"/>
      <c r="AD1" s="192" t="e">
        <f>SUM(C45-C59)/365</f>
        <v>#VALUE!</v>
      </c>
      <c r="AE1" s="189" t="str">
        <f>B46</f>
        <v>Start of construction</v>
      </c>
    </row>
    <row r="2" spans="1:33" ht="27.75" customHeight="1">
      <c r="A2" s="67" t="s">
        <v>49</v>
      </c>
      <c r="B2" s="784"/>
      <c r="C2" s="784"/>
      <c r="D2" s="784"/>
      <c r="E2" s="64" t="s">
        <v>50</v>
      </c>
      <c r="F2" s="784"/>
      <c r="O2" s="784"/>
      <c r="P2" s="784"/>
      <c r="Q2" s="784"/>
      <c r="R2" s="784"/>
      <c r="S2" s="784"/>
      <c r="T2" s="784"/>
      <c r="U2" s="784"/>
      <c r="V2" s="784"/>
      <c r="W2" s="784"/>
      <c r="X2" s="784"/>
      <c r="Y2" s="784"/>
      <c r="Z2" s="784"/>
      <c r="AA2" s="784"/>
      <c r="AB2" s="784"/>
      <c r="AC2" s="784"/>
      <c r="AD2" s="192">
        <f>SUM(C47-C59)/365</f>
        <v>0</v>
      </c>
      <c r="AE2" s="190" t="str">
        <f>B47</f>
        <v>Mid-Point of Construction</v>
      </c>
      <c r="AF2" s="784"/>
      <c r="AG2" s="784"/>
    </row>
    <row r="3" spans="1:33" ht="15" customHeight="1">
      <c r="A3" s="864" t="s">
        <v>51</v>
      </c>
      <c r="B3" s="865"/>
      <c r="C3" s="784"/>
      <c r="D3" s="784"/>
      <c r="E3" s="784"/>
      <c r="F3" s="784"/>
      <c r="O3" s="784"/>
      <c r="P3" s="784"/>
      <c r="Q3" s="784"/>
      <c r="R3" s="784"/>
      <c r="S3" s="784"/>
      <c r="T3" s="784"/>
      <c r="U3" s="784"/>
      <c r="V3" s="784"/>
      <c r="W3" s="784"/>
      <c r="X3" s="784"/>
      <c r="Y3" s="784"/>
      <c r="Z3" s="784"/>
      <c r="AA3" s="784"/>
      <c r="AB3" s="784"/>
      <c r="AC3" s="784"/>
      <c r="AD3" s="192" t="e">
        <f>AD1+1</f>
        <v>#VALUE!</v>
      </c>
      <c r="AE3" s="190" t="s">
        <v>52</v>
      </c>
      <c r="AF3" s="784"/>
      <c r="AG3" s="784"/>
    </row>
    <row r="4" spans="1:33" ht="15" customHeight="1" thickBot="1">
      <c r="A4" s="68"/>
      <c r="B4" s="866" t="s">
        <v>53</v>
      </c>
      <c r="C4" s="866"/>
      <c r="D4" s="866"/>
      <c r="E4" s="866"/>
      <c r="F4" s="784"/>
      <c r="O4" s="784"/>
      <c r="P4" s="784"/>
      <c r="Q4" s="784"/>
      <c r="R4" s="784"/>
      <c r="S4" s="784"/>
      <c r="T4" s="784"/>
      <c r="U4" s="784"/>
      <c r="V4" s="784"/>
      <c r="W4" s="784"/>
      <c r="X4" s="784"/>
      <c r="Y4" s="784"/>
      <c r="Z4" s="784"/>
      <c r="AA4" s="784"/>
      <c r="AB4" s="784"/>
      <c r="AC4" s="784"/>
      <c r="AD4" s="192">
        <f>SUM(C48-C59)/365</f>
        <v>0</v>
      </c>
      <c r="AE4" s="190" t="str">
        <f>B48</f>
        <v>End of Construction</v>
      </c>
      <c r="AF4" s="784"/>
      <c r="AG4" s="784"/>
    </row>
    <row r="5" spans="1:33" ht="15" customHeight="1" thickTop="1">
      <c r="A5" s="784"/>
      <c r="B5" s="784"/>
      <c r="C5" s="784"/>
      <c r="D5" s="784"/>
      <c r="E5" s="784"/>
      <c r="F5" s="784"/>
      <c r="O5" s="784"/>
      <c r="P5" s="784"/>
      <c r="Q5" s="784"/>
      <c r="R5" s="784"/>
      <c r="S5" s="784"/>
      <c r="T5" s="784"/>
      <c r="U5" s="784"/>
      <c r="V5" s="784"/>
      <c r="W5" s="784"/>
      <c r="X5" s="784"/>
      <c r="Y5" s="784"/>
      <c r="Z5" s="784"/>
      <c r="AA5" s="784"/>
      <c r="AB5" s="784"/>
      <c r="AC5" s="784"/>
      <c r="AD5" s="784"/>
      <c r="AE5" s="763"/>
      <c r="AF5" s="784"/>
      <c r="AG5" s="763"/>
    </row>
    <row r="6" spans="1:33" ht="15" customHeight="1">
      <c r="A6" s="177" t="s">
        <v>54</v>
      </c>
      <c r="B6" s="867" t="s">
        <v>55</v>
      </c>
      <c r="C6" s="867"/>
      <c r="D6" s="867"/>
      <c r="E6" s="868"/>
      <c r="F6" s="784"/>
      <c r="O6" s="784"/>
      <c r="P6" s="784"/>
      <c r="Q6" s="784"/>
      <c r="R6" s="784"/>
      <c r="S6" s="784"/>
      <c r="T6" s="784"/>
      <c r="U6" s="784"/>
      <c r="V6" s="784"/>
      <c r="W6" s="784"/>
      <c r="X6" s="784"/>
      <c r="Y6" s="784"/>
      <c r="Z6" s="784"/>
      <c r="AA6" s="784"/>
      <c r="AB6" s="784"/>
      <c r="AC6" s="784"/>
      <c r="AD6" s="193" t="s">
        <v>56</v>
      </c>
      <c r="AE6" s="763"/>
      <c r="AF6" s="784"/>
      <c r="AG6" s="763"/>
    </row>
    <row r="7" spans="1:33" ht="15" customHeight="1">
      <c r="A7" s="178"/>
      <c r="B7" s="1070" t="s">
        <v>57</v>
      </c>
      <c r="C7" s="1071"/>
      <c r="D7" s="1071"/>
      <c r="E7" s="1072"/>
      <c r="F7" s="784"/>
      <c r="O7" s="784"/>
      <c r="P7" s="784"/>
      <c r="Q7" s="784"/>
      <c r="R7" s="784"/>
      <c r="S7" s="784"/>
      <c r="T7" s="784"/>
      <c r="U7" s="784"/>
      <c r="V7" s="784"/>
      <c r="W7" s="784"/>
      <c r="X7" s="784"/>
      <c r="Y7" s="784"/>
      <c r="Z7" s="784"/>
      <c r="AA7" s="784"/>
      <c r="AB7" s="784"/>
      <c r="AC7" s="784"/>
      <c r="AD7" s="193" t="s">
        <v>58</v>
      </c>
      <c r="AE7" s="763"/>
      <c r="AF7" s="784"/>
      <c r="AG7" s="763"/>
    </row>
    <row r="8" spans="1:33" ht="15" customHeight="1">
      <c r="A8" s="178"/>
      <c r="B8" s="1070" t="s">
        <v>59</v>
      </c>
      <c r="C8" s="1071"/>
      <c r="D8" s="1071"/>
      <c r="E8" s="1072"/>
      <c r="F8" s="784"/>
      <c r="O8" s="784"/>
      <c r="P8" s="784"/>
      <c r="Q8" s="784"/>
      <c r="R8" s="784"/>
      <c r="S8" s="784"/>
      <c r="T8" s="784"/>
      <c r="U8" s="784"/>
      <c r="V8" s="784"/>
      <c r="W8" s="784"/>
      <c r="X8" s="784"/>
      <c r="Y8" s="784"/>
      <c r="Z8" s="784"/>
      <c r="AA8" s="784"/>
      <c r="AB8" s="784"/>
      <c r="AC8" s="784"/>
      <c r="AD8" s="193" t="s">
        <v>60</v>
      </c>
      <c r="AE8" s="763"/>
      <c r="AF8" s="784"/>
      <c r="AG8" s="763"/>
    </row>
    <row r="9" spans="1:33" ht="15" customHeight="1">
      <c r="A9" s="178"/>
      <c r="B9" s="1070" t="s">
        <v>61</v>
      </c>
      <c r="C9" s="1073"/>
      <c r="D9" s="1073"/>
      <c r="E9" s="1074"/>
      <c r="F9" s="784"/>
      <c r="O9" s="784"/>
      <c r="P9" s="784"/>
      <c r="Q9" s="784"/>
      <c r="R9" s="784"/>
      <c r="S9" s="784"/>
      <c r="T9" s="784"/>
      <c r="U9" s="784"/>
      <c r="V9" s="784"/>
      <c r="W9" s="784"/>
      <c r="X9" s="784"/>
      <c r="Y9" s="784"/>
      <c r="Z9" s="784"/>
      <c r="AA9" s="784"/>
      <c r="AB9" s="784"/>
      <c r="AC9" s="784"/>
      <c r="AD9" s="193" t="s">
        <v>62</v>
      </c>
      <c r="AE9" s="763"/>
      <c r="AF9" s="784"/>
      <c r="AG9" s="763"/>
    </row>
    <row r="10" spans="1:33" ht="15" customHeight="1">
      <c r="A10" s="178"/>
      <c r="B10" s="1070" t="s">
        <v>63</v>
      </c>
      <c r="C10" s="1075"/>
      <c r="D10" s="1076"/>
      <c r="E10" s="1077"/>
      <c r="F10" s="784"/>
      <c r="O10" s="784"/>
      <c r="P10" s="784"/>
      <c r="Q10" s="784"/>
      <c r="R10" s="784"/>
      <c r="S10" s="784"/>
      <c r="T10" s="784"/>
      <c r="U10" s="784"/>
      <c r="V10" s="784"/>
      <c r="W10" s="784"/>
      <c r="X10" s="784"/>
      <c r="Y10" s="784"/>
      <c r="Z10" s="784"/>
      <c r="AA10" s="784"/>
      <c r="AB10" s="784"/>
      <c r="AC10" s="784"/>
      <c r="AD10" s="193" t="s">
        <v>64</v>
      </c>
      <c r="AE10" s="763"/>
      <c r="AF10" s="784"/>
      <c r="AG10" s="763"/>
    </row>
    <row r="11" spans="1:33" ht="15" customHeight="1">
      <c r="A11" s="178"/>
      <c r="B11" s="1070" t="s">
        <v>65</v>
      </c>
      <c r="C11" s="1078"/>
      <c r="D11" s="1079"/>
      <c r="E11" s="1080"/>
      <c r="F11" s="784"/>
      <c r="O11" s="784"/>
      <c r="P11" s="784"/>
      <c r="Q11" s="784"/>
      <c r="R11" s="784"/>
      <c r="S11" s="784"/>
      <c r="T11" s="784"/>
      <c r="U11" s="784"/>
      <c r="V11" s="784"/>
      <c r="W11" s="784"/>
      <c r="X11" s="784"/>
      <c r="Y11" s="784"/>
      <c r="Z11" s="784"/>
      <c r="AA11" s="784"/>
      <c r="AB11" s="784"/>
      <c r="AC11" s="784"/>
      <c r="AD11" s="193" t="s">
        <v>66</v>
      </c>
      <c r="AE11" s="763"/>
      <c r="AF11" s="784"/>
      <c r="AG11" s="763"/>
    </row>
    <row r="12" spans="1:33" ht="15" customHeight="1">
      <c r="A12" s="178"/>
      <c r="B12" s="1070" t="s">
        <v>67</v>
      </c>
      <c r="C12" s="1075"/>
      <c r="D12" s="1081"/>
      <c r="E12" s="1077"/>
      <c r="F12" s="784"/>
      <c r="O12" s="784"/>
      <c r="P12" s="784"/>
      <c r="Q12" s="784"/>
      <c r="R12" s="784"/>
      <c r="S12" s="784"/>
      <c r="T12" s="784"/>
      <c r="U12" s="784"/>
      <c r="V12" s="784"/>
      <c r="W12" s="784"/>
      <c r="X12" s="784"/>
      <c r="Y12" s="784"/>
      <c r="Z12" s="784"/>
      <c r="AA12" s="784"/>
      <c r="AB12" s="784"/>
      <c r="AC12" s="784"/>
      <c r="AD12" s="193" t="s">
        <v>68</v>
      </c>
      <c r="AE12" s="763"/>
      <c r="AF12" s="784"/>
      <c r="AG12" s="763"/>
    </row>
    <row r="13" spans="1:33" ht="15" customHeight="1">
      <c r="A13" s="178"/>
      <c r="B13" s="1070" t="s">
        <v>69</v>
      </c>
      <c r="C13" s="1082"/>
      <c r="D13" s="1072"/>
      <c r="E13" s="1072"/>
      <c r="F13" s="784"/>
      <c r="O13" s="784"/>
      <c r="P13" s="784"/>
      <c r="Q13" s="784"/>
      <c r="R13" s="784"/>
      <c r="S13" s="784"/>
      <c r="T13" s="784"/>
      <c r="U13" s="784"/>
      <c r="V13" s="784"/>
      <c r="W13" s="784"/>
      <c r="X13" s="784"/>
      <c r="Y13" s="784"/>
      <c r="Z13" s="784"/>
      <c r="AA13" s="784"/>
      <c r="AB13" s="784"/>
      <c r="AC13" s="784"/>
      <c r="AD13" s="193" t="s">
        <v>70</v>
      </c>
      <c r="AE13" s="763"/>
      <c r="AF13" s="784"/>
      <c r="AG13" s="763"/>
    </row>
    <row r="14" spans="1:33" ht="15" customHeight="1">
      <c r="A14" s="178"/>
      <c r="B14" s="1070" t="s">
        <v>71</v>
      </c>
      <c r="C14" s="1071"/>
      <c r="D14" s="1083"/>
      <c r="E14" s="1072"/>
      <c r="F14" s="784"/>
      <c r="O14" s="784"/>
      <c r="P14" s="784"/>
      <c r="Q14" s="784"/>
      <c r="R14" s="784"/>
      <c r="S14" s="784"/>
      <c r="T14" s="784"/>
      <c r="U14" s="784"/>
      <c r="V14" s="784"/>
      <c r="W14" s="784"/>
      <c r="X14" s="784"/>
      <c r="Y14" s="784"/>
      <c r="Z14" s="784"/>
      <c r="AA14" s="784"/>
      <c r="AB14" s="784"/>
      <c r="AC14" s="784"/>
      <c r="AD14" s="193" t="s">
        <v>72</v>
      </c>
      <c r="AE14" s="763"/>
      <c r="AF14" s="784"/>
      <c r="AG14" s="763"/>
    </row>
    <row r="15" spans="1:33" ht="15" customHeight="1">
      <c r="A15" s="178"/>
      <c r="B15" s="1070" t="s">
        <v>73</v>
      </c>
      <c r="C15" s="1071"/>
      <c r="D15" s="1071"/>
      <c r="E15" s="1072"/>
      <c r="F15" s="784"/>
      <c r="O15" s="784"/>
      <c r="P15" s="784"/>
      <c r="Q15" s="784"/>
      <c r="R15" s="784"/>
      <c r="S15" s="784"/>
      <c r="T15" s="784"/>
      <c r="U15" s="784"/>
      <c r="V15" s="784"/>
      <c r="W15" s="784"/>
      <c r="X15" s="784"/>
      <c r="Y15" s="784"/>
      <c r="Z15" s="784"/>
      <c r="AA15" s="784"/>
      <c r="AB15" s="784"/>
      <c r="AC15" s="784"/>
      <c r="AD15" s="193" t="s">
        <v>74</v>
      </c>
      <c r="AE15" s="763"/>
      <c r="AF15" s="784"/>
      <c r="AG15" s="763"/>
    </row>
    <row r="16" spans="1:33" ht="15" customHeight="1">
      <c r="A16" s="178"/>
      <c r="B16" s="1070" t="s">
        <v>75</v>
      </c>
      <c r="C16" s="1082"/>
      <c r="D16" s="1072"/>
      <c r="E16" s="1072"/>
      <c r="F16" s="784"/>
      <c r="O16" s="784"/>
      <c r="P16" s="784"/>
      <c r="Q16" s="784"/>
      <c r="R16" s="784"/>
      <c r="S16" s="784"/>
      <c r="T16" s="784"/>
      <c r="U16" s="784"/>
      <c r="V16" s="784"/>
      <c r="W16" s="784"/>
      <c r="X16" s="784"/>
      <c r="Y16" s="784"/>
      <c r="Z16" s="784"/>
      <c r="AA16" s="784"/>
      <c r="AB16" s="784"/>
      <c r="AC16" s="784"/>
      <c r="AD16" s="194" t="s">
        <v>76</v>
      </c>
      <c r="AE16" s="763"/>
      <c r="AF16" s="784"/>
      <c r="AG16" s="763"/>
    </row>
    <row r="17" spans="1:33" ht="15" customHeight="1">
      <c r="A17" s="178"/>
      <c r="B17" s="1070" t="s">
        <v>77</v>
      </c>
      <c r="C17" s="1075"/>
      <c r="D17" s="1076"/>
      <c r="E17" s="1077"/>
      <c r="F17" s="784"/>
      <c r="O17" s="784"/>
      <c r="P17" s="784"/>
      <c r="Q17" s="784"/>
      <c r="R17" s="784"/>
      <c r="S17" s="784"/>
      <c r="T17" s="784"/>
      <c r="U17" s="784"/>
      <c r="V17" s="784"/>
      <c r="W17" s="784"/>
      <c r="X17" s="784"/>
      <c r="Y17" s="784"/>
      <c r="Z17" s="784"/>
      <c r="AA17" s="784"/>
      <c r="AB17" s="784"/>
      <c r="AC17" s="784"/>
      <c r="AD17" s="194" t="s">
        <v>78</v>
      </c>
      <c r="AE17" s="763"/>
      <c r="AF17" s="784"/>
      <c r="AG17" s="763"/>
    </row>
    <row r="18" spans="1:33" ht="15" customHeight="1">
      <c r="A18" s="178"/>
      <c r="B18" s="1070" t="s">
        <v>79</v>
      </c>
      <c r="C18" s="1075"/>
      <c r="D18" s="1076"/>
      <c r="E18" s="1077"/>
      <c r="F18" s="784"/>
      <c r="O18" s="784"/>
      <c r="P18" s="784"/>
      <c r="Q18" s="784"/>
      <c r="R18" s="784"/>
      <c r="S18" s="784"/>
      <c r="T18" s="784"/>
      <c r="U18" s="784"/>
      <c r="V18" s="784"/>
      <c r="W18" s="784"/>
      <c r="X18" s="784"/>
      <c r="Y18" s="784"/>
      <c r="Z18" s="784"/>
      <c r="AA18" s="784"/>
      <c r="AB18" s="784"/>
      <c r="AC18" s="784"/>
      <c r="AD18" s="194" t="s">
        <v>80</v>
      </c>
      <c r="AE18" s="763"/>
      <c r="AF18" s="784"/>
      <c r="AG18" s="763"/>
    </row>
    <row r="19" spans="1:33" ht="15" customHeight="1">
      <c r="A19" s="178"/>
      <c r="B19" s="1070" t="s">
        <v>81</v>
      </c>
      <c r="C19" s="1075"/>
      <c r="D19" s="1076"/>
      <c r="E19" s="1077"/>
      <c r="F19" s="784"/>
      <c r="O19" s="784"/>
      <c r="P19" s="784"/>
      <c r="Q19" s="784"/>
      <c r="R19" s="784"/>
      <c r="S19" s="784"/>
      <c r="T19" s="784"/>
      <c r="U19" s="784"/>
      <c r="V19" s="784"/>
      <c r="W19" s="784"/>
      <c r="X19" s="784"/>
      <c r="Y19" s="784"/>
      <c r="Z19" s="784"/>
      <c r="AA19" s="784"/>
      <c r="AB19" s="784"/>
      <c r="AC19" s="784"/>
      <c r="AD19" s="194" t="s">
        <v>82</v>
      </c>
      <c r="AE19" s="763"/>
      <c r="AF19" s="784"/>
      <c r="AG19" s="763"/>
    </row>
    <row r="20" spans="1:33" ht="15" customHeight="1">
      <c r="A20" s="178"/>
      <c r="B20" s="1070" t="s">
        <v>83</v>
      </c>
      <c r="C20" s="1071"/>
      <c r="D20" s="1071"/>
      <c r="E20" s="1072"/>
      <c r="F20" s="784"/>
      <c r="O20" s="784"/>
      <c r="P20" s="784"/>
      <c r="Q20" s="784"/>
      <c r="R20" s="784"/>
      <c r="S20" s="784"/>
      <c r="T20" s="784"/>
      <c r="U20" s="784"/>
      <c r="V20" s="784"/>
      <c r="W20" s="784"/>
      <c r="X20" s="784"/>
      <c r="Y20" s="784"/>
      <c r="Z20" s="784"/>
      <c r="AA20" s="784"/>
      <c r="AB20" s="784"/>
      <c r="AC20" s="784"/>
      <c r="AD20" s="194" t="s">
        <v>84</v>
      </c>
      <c r="AE20" s="763"/>
      <c r="AF20" s="784"/>
      <c r="AG20" s="763"/>
    </row>
    <row r="21" spans="1:33" ht="15" customHeight="1">
      <c r="A21" s="178"/>
      <c r="B21" s="1070" t="s">
        <v>85</v>
      </c>
      <c r="C21" s="1084" t="s">
        <v>86</v>
      </c>
      <c r="D21" s="1085"/>
      <c r="E21" s="1086"/>
      <c r="F21" s="784"/>
      <c r="O21" s="784"/>
      <c r="P21" s="784"/>
      <c r="Q21" s="784"/>
      <c r="R21" s="784"/>
      <c r="S21" s="784"/>
      <c r="T21" s="784"/>
      <c r="U21" s="784"/>
      <c r="V21" s="784"/>
      <c r="W21" s="784"/>
      <c r="X21" s="784"/>
      <c r="Y21" s="784"/>
      <c r="Z21" s="784"/>
      <c r="AA21" s="784"/>
      <c r="AB21" s="784"/>
      <c r="AC21" s="784"/>
      <c r="AD21" s="194"/>
      <c r="AE21" s="763"/>
      <c r="AF21" s="784"/>
      <c r="AG21" s="763"/>
    </row>
    <row r="22" spans="1:33" ht="33" customHeight="1">
      <c r="A22" s="178"/>
      <c r="B22" s="784"/>
      <c r="C22" s="784"/>
      <c r="D22" s="165" t="s">
        <v>87</v>
      </c>
      <c r="E22" s="784"/>
      <c r="F22" s="784"/>
      <c r="O22" s="784"/>
      <c r="P22" s="784"/>
      <c r="Q22" s="784"/>
      <c r="R22" s="784"/>
      <c r="S22" s="784"/>
      <c r="T22" s="784"/>
      <c r="U22" s="784"/>
      <c r="V22" s="784"/>
      <c r="W22" s="784"/>
      <c r="X22" s="784"/>
      <c r="Y22" s="784"/>
      <c r="Z22" s="784"/>
      <c r="AA22" s="784"/>
      <c r="AB22" s="784"/>
      <c r="AC22" s="784"/>
      <c r="AD22" s="194" t="s">
        <v>84</v>
      </c>
      <c r="AE22" s="763"/>
      <c r="AF22" s="784"/>
      <c r="AG22" s="763"/>
    </row>
    <row r="23" spans="1:33" ht="22.15" customHeight="1">
      <c r="A23" s="178"/>
      <c r="B23" s="765" t="s">
        <v>88</v>
      </c>
      <c r="C23" s="765" t="s">
        <v>89</v>
      </c>
      <c r="D23" s="164" t="s">
        <v>90</v>
      </c>
      <c r="E23" s="765" t="s">
        <v>91</v>
      </c>
      <c r="F23" s="784"/>
      <c r="O23" s="784"/>
      <c r="P23" s="784"/>
      <c r="Q23" s="784"/>
      <c r="R23" s="784"/>
      <c r="S23" s="784"/>
      <c r="T23" s="784"/>
      <c r="U23" s="784"/>
      <c r="V23" s="784"/>
      <c r="W23" s="784"/>
      <c r="X23" s="784"/>
      <c r="Y23" s="784"/>
      <c r="Z23" s="784"/>
      <c r="AA23" s="784"/>
      <c r="AB23" s="784"/>
      <c r="AC23" s="784"/>
      <c r="AD23" s="194" t="s">
        <v>92</v>
      </c>
      <c r="AE23" s="784"/>
      <c r="AF23" s="784"/>
      <c r="AG23" s="784"/>
    </row>
    <row r="24" spans="1:33" ht="15" customHeight="1">
      <c r="A24" s="178">
        <v>1</v>
      </c>
      <c r="B24" s="1087" t="s">
        <v>93</v>
      </c>
      <c r="C24" s="1088">
        <f>'P-Budget'!F8</f>
        <v>0</v>
      </c>
      <c r="D24" s="1089">
        <f>C24</f>
        <v>0</v>
      </c>
      <c r="E24" s="1090"/>
      <c r="F24" s="784"/>
      <c r="O24" s="784"/>
      <c r="P24" s="784"/>
      <c r="Q24" s="784"/>
      <c r="R24" s="784"/>
      <c r="S24" s="784"/>
      <c r="T24" s="784"/>
      <c r="U24" s="784"/>
      <c r="V24" s="784"/>
      <c r="W24" s="784"/>
      <c r="X24" s="784"/>
      <c r="Y24" s="784"/>
      <c r="Z24" s="784"/>
      <c r="AA24" s="784"/>
      <c r="AB24" s="784"/>
      <c r="AC24" s="784"/>
      <c r="AD24" s="194" t="s">
        <v>94</v>
      </c>
      <c r="AE24" s="784"/>
      <c r="AF24" s="784"/>
      <c r="AG24" s="784"/>
    </row>
    <row r="25" spans="1:33" ht="15" customHeight="1">
      <c r="A25" s="178">
        <v>2</v>
      </c>
      <c r="B25" s="1070" t="s">
        <v>95</v>
      </c>
      <c r="C25" s="1091">
        <f>'P-Budget'!F12</f>
        <v>0</v>
      </c>
      <c r="D25" s="1092">
        <f ca="1">'P-Escalation'!J16</f>
        <v>0</v>
      </c>
      <c r="E25" s="1093"/>
      <c r="F25" s="784"/>
      <c r="O25" s="784"/>
      <c r="P25" s="784"/>
      <c r="Q25" s="784"/>
      <c r="R25" s="784"/>
      <c r="S25" s="784"/>
      <c r="T25" s="784"/>
      <c r="U25" s="784"/>
      <c r="V25" s="784"/>
      <c r="W25" s="784"/>
      <c r="X25" s="784"/>
      <c r="Y25" s="784"/>
      <c r="Z25" s="784"/>
      <c r="AA25" s="784"/>
      <c r="AB25" s="784"/>
      <c r="AC25" s="784"/>
      <c r="AD25" s="194" t="s">
        <v>96</v>
      </c>
      <c r="AE25" s="784"/>
      <c r="AF25" s="784"/>
      <c r="AG25" s="784"/>
    </row>
    <row r="26" spans="1:33" ht="15" customHeight="1">
      <c r="A26" s="178">
        <v>3</v>
      </c>
      <c r="B26" s="1070" t="s">
        <v>97</v>
      </c>
      <c r="C26" s="1091">
        <f>'P-Budget'!F29</f>
        <v>0</v>
      </c>
      <c r="D26" s="1092">
        <f ca="1">'P-Escalation'!J22</f>
        <v>0</v>
      </c>
      <c r="E26" s="1094"/>
      <c r="F26" s="784"/>
      <c r="O26" s="784"/>
      <c r="P26" s="784"/>
      <c r="Q26" s="784"/>
      <c r="R26" s="784"/>
      <c r="S26" s="784"/>
      <c r="T26" s="784"/>
      <c r="U26" s="784"/>
      <c r="V26" s="784"/>
      <c r="W26" s="784"/>
      <c r="X26" s="784"/>
      <c r="Y26" s="784"/>
      <c r="Z26" s="784"/>
      <c r="AA26" s="784"/>
      <c r="AB26" s="784"/>
      <c r="AC26" s="784"/>
      <c r="AD26" s="194" t="s">
        <v>98</v>
      </c>
      <c r="AE26" s="784"/>
      <c r="AF26" s="784"/>
      <c r="AG26" s="784"/>
    </row>
    <row r="27" spans="1:33" ht="15" customHeight="1">
      <c r="A27" s="178">
        <v>3</v>
      </c>
      <c r="B27" s="1070" t="s">
        <v>99</v>
      </c>
      <c r="C27" s="1091">
        <f>'P-Budget'!F34</f>
        <v>0</v>
      </c>
      <c r="D27" s="1092">
        <f ca="1">'P-Escalation'!J28</f>
        <v>0</v>
      </c>
      <c r="E27" s="1094"/>
      <c r="F27" s="784"/>
      <c r="O27" s="784"/>
      <c r="P27" s="784"/>
      <c r="Q27" s="784"/>
      <c r="R27" s="784"/>
      <c r="S27" s="784"/>
      <c r="T27" s="784"/>
      <c r="U27" s="784"/>
      <c r="V27" s="784"/>
      <c r="W27" s="784"/>
      <c r="X27" s="784"/>
      <c r="Y27" s="784"/>
      <c r="Z27" s="784"/>
      <c r="AA27" s="784"/>
      <c r="AB27" s="784"/>
      <c r="AC27" s="784"/>
      <c r="AD27" s="194" t="s">
        <v>100</v>
      </c>
      <c r="AE27" s="784"/>
      <c r="AF27" s="784"/>
      <c r="AG27" s="784"/>
    </row>
    <row r="28" spans="1:33" ht="15" customHeight="1">
      <c r="A28" s="178">
        <v>3</v>
      </c>
      <c r="B28" s="1070" t="s">
        <v>101</v>
      </c>
      <c r="C28" s="1091">
        <f>'P-Budget'!F55</f>
        <v>0</v>
      </c>
      <c r="D28" s="1092">
        <f ca="1">'P-Escalation'!J34</f>
        <v>0</v>
      </c>
      <c r="E28" s="1094"/>
      <c r="F28" s="784"/>
      <c r="O28" s="784"/>
      <c r="P28" s="784"/>
      <c r="Q28" s="784"/>
      <c r="R28" s="784"/>
      <c r="S28" s="784"/>
      <c r="T28" s="784"/>
      <c r="U28" s="784"/>
      <c r="V28" s="784"/>
      <c r="W28" s="784"/>
      <c r="X28" s="784"/>
      <c r="Y28" s="784"/>
      <c r="Z28" s="784"/>
      <c r="AA28" s="784"/>
      <c r="AB28" s="784"/>
      <c r="AC28" s="784"/>
      <c r="AD28" s="194" t="s">
        <v>102</v>
      </c>
      <c r="AE28" s="784"/>
      <c r="AF28" s="784"/>
      <c r="AG28" s="784"/>
    </row>
    <row r="29" spans="1:33" ht="15" customHeight="1">
      <c r="A29" s="178">
        <v>4</v>
      </c>
      <c r="B29" s="1070" t="s">
        <v>103</v>
      </c>
      <c r="C29" s="1091">
        <f>'P-Budget'!F62</f>
        <v>0</v>
      </c>
      <c r="D29" s="1092" t="e">
        <f ca="1">'P-Escalation'!J40</f>
        <v>#VALUE!</v>
      </c>
      <c r="E29" s="1094"/>
      <c r="F29" s="784"/>
      <c r="G29" s="195"/>
      <c r="O29" s="784"/>
      <c r="P29" s="784"/>
      <c r="Q29" s="784"/>
      <c r="R29" s="784"/>
      <c r="S29" s="784"/>
      <c r="T29" s="784"/>
      <c r="U29" s="784"/>
      <c r="V29" s="784"/>
      <c r="W29" s="784"/>
      <c r="X29" s="784"/>
      <c r="Y29" s="784"/>
      <c r="Z29" s="784"/>
      <c r="AA29" s="784"/>
      <c r="AB29" s="784"/>
      <c r="AC29" s="784"/>
      <c r="AD29" s="194" t="s">
        <v>104</v>
      </c>
      <c r="AE29" s="784"/>
      <c r="AF29" s="784"/>
      <c r="AG29" s="784"/>
    </row>
    <row r="30" spans="1:33" ht="15" customHeight="1" thickBot="1">
      <c r="A30" s="178">
        <v>2</v>
      </c>
      <c r="B30" s="1070" t="s">
        <v>105</v>
      </c>
      <c r="C30" s="800" t="str">
        <f>'P-Budget'!F65</f>
        <v/>
      </c>
      <c r="D30" s="801">
        <f ca="1">'P-Escalation'!J46</f>
        <v>0</v>
      </c>
      <c r="E30" s="1095"/>
      <c r="F30" s="784"/>
      <c r="O30" s="784"/>
      <c r="P30" s="784"/>
      <c r="Q30" s="784"/>
      <c r="R30" s="784"/>
      <c r="S30" s="784"/>
      <c r="T30" s="784"/>
      <c r="U30" s="784"/>
      <c r="V30" s="784"/>
      <c r="W30" s="784"/>
      <c r="X30" s="784"/>
      <c r="Y30" s="784"/>
      <c r="Z30" s="784"/>
      <c r="AA30" s="784"/>
      <c r="AB30" s="784"/>
      <c r="AC30" s="784"/>
      <c r="AD30" s="194" t="s">
        <v>106</v>
      </c>
      <c r="AE30" s="784"/>
      <c r="AF30" s="784"/>
      <c r="AG30" s="784"/>
    </row>
    <row r="31" spans="1:33" ht="15" customHeight="1">
      <c r="A31" s="178"/>
      <c r="B31" s="1096" t="s">
        <v>107</v>
      </c>
      <c r="C31" s="349">
        <f>SUM(C24:C30)</f>
        <v>0</v>
      </c>
      <c r="D31" s="350" t="e">
        <f ca="1">D24+D25+D26+D27+D28+D29+D30</f>
        <v>#VALUE!</v>
      </c>
      <c r="E31" s="1093"/>
      <c r="F31" s="784"/>
      <c r="G31" s="196"/>
      <c r="O31" s="784"/>
      <c r="P31" s="784"/>
      <c r="Q31" s="784"/>
      <c r="R31" s="784"/>
      <c r="S31" s="784"/>
      <c r="T31" s="784"/>
      <c r="U31" s="784"/>
      <c r="V31" s="784"/>
      <c r="W31" s="784"/>
      <c r="X31" s="784"/>
      <c r="Y31" s="784"/>
      <c r="Z31" s="784"/>
      <c r="AA31" s="784"/>
      <c r="AB31" s="784"/>
      <c r="AC31" s="784"/>
      <c r="AD31" s="194" t="s">
        <v>108</v>
      </c>
      <c r="AE31" s="784"/>
      <c r="AF31" s="784"/>
      <c r="AG31" s="784"/>
    </row>
    <row r="32" spans="1:33" ht="15" customHeight="1">
      <c r="A32" s="178"/>
      <c r="B32" s="784"/>
      <c r="C32" s="784"/>
      <c r="D32" s="784"/>
      <c r="E32" s="784"/>
      <c r="F32" s="784"/>
      <c r="O32" s="784"/>
      <c r="P32" s="784"/>
      <c r="Q32" s="784"/>
      <c r="R32" s="784"/>
      <c r="S32" s="784"/>
      <c r="T32" s="784"/>
      <c r="U32" s="784"/>
      <c r="V32" s="784"/>
      <c r="W32" s="784"/>
      <c r="X32" s="784"/>
      <c r="Y32" s="784"/>
      <c r="Z32" s="784"/>
      <c r="AA32" s="784"/>
      <c r="AB32" s="784"/>
      <c r="AC32" s="784"/>
      <c r="AD32" s="194" t="s">
        <v>109</v>
      </c>
      <c r="AE32" s="784"/>
      <c r="AF32" s="784"/>
      <c r="AG32" s="784"/>
    </row>
    <row r="33" spans="1:33" ht="15" customHeight="1">
      <c r="A33" s="178"/>
      <c r="B33" s="765" t="s">
        <v>110</v>
      </c>
      <c r="C33" s="765" t="s">
        <v>111</v>
      </c>
      <c r="D33" s="765" t="s">
        <v>91</v>
      </c>
      <c r="E33" s="784"/>
      <c r="F33" s="784"/>
      <c r="O33" s="784"/>
      <c r="P33" s="784"/>
      <c r="Q33" s="784"/>
      <c r="R33" s="784"/>
      <c r="S33" s="784"/>
      <c r="T33" s="784"/>
      <c r="U33" s="784"/>
      <c r="V33" s="784"/>
      <c r="W33" s="784"/>
      <c r="X33" s="784"/>
      <c r="Y33" s="784"/>
      <c r="Z33" s="784"/>
      <c r="AA33" s="784"/>
      <c r="AB33" s="784"/>
      <c r="AC33" s="784"/>
      <c r="AD33" s="194" t="s">
        <v>112</v>
      </c>
      <c r="AE33" s="784"/>
      <c r="AF33" s="784"/>
      <c r="AG33" s="784"/>
    </row>
    <row r="34" spans="1:33" ht="15" customHeight="1">
      <c r="A34" s="178" t="s">
        <v>113</v>
      </c>
      <c r="B34" s="1070" t="s">
        <v>114</v>
      </c>
      <c r="C34" s="1091">
        <f>'P-DP Estimate'!G48</f>
        <v>0</v>
      </c>
      <c r="D34" s="1097" t="e">
        <f ca="1">'P-Escalation'!J52</f>
        <v>#VALUE!</v>
      </c>
      <c r="E34" s="1094"/>
      <c r="F34" s="784"/>
      <c r="O34" s="784"/>
      <c r="P34" s="784"/>
      <c r="Q34" s="784"/>
      <c r="R34" s="784"/>
      <c r="S34" s="784"/>
      <c r="T34" s="784"/>
      <c r="U34" s="784"/>
      <c r="V34" s="784"/>
      <c r="W34" s="784"/>
      <c r="X34" s="784"/>
      <c r="Y34" s="784"/>
      <c r="Z34" s="784"/>
      <c r="AA34" s="784"/>
      <c r="AB34" s="784"/>
      <c r="AC34" s="784"/>
      <c r="AD34" s="194" t="s">
        <v>115</v>
      </c>
      <c r="AE34" s="784"/>
      <c r="AF34" s="784"/>
      <c r="AG34" s="784"/>
    </row>
    <row r="35" spans="1:33" ht="15" customHeight="1">
      <c r="A35" s="178" t="s">
        <v>113</v>
      </c>
      <c r="B35" s="1098" t="s">
        <v>116</v>
      </c>
      <c r="C35" s="351">
        <f>C36-C34</f>
        <v>0</v>
      </c>
      <c r="D35" s="1097" t="e">
        <f ca="1">IF(D34="","",D36-D34)</f>
        <v>#VALUE!</v>
      </c>
      <c r="E35" s="1094"/>
      <c r="F35" s="784"/>
      <c r="O35" s="784"/>
      <c r="P35" s="784"/>
      <c r="Q35" s="784"/>
      <c r="R35" s="784"/>
      <c r="S35" s="784"/>
      <c r="T35" s="784"/>
      <c r="U35" s="784"/>
      <c r="V35" s="784"/>
      <c r="W35" s="784"/>
      <c r="X35" s="784"/>
      <c r="Y35" s="784"/>
      <c r="Z35" s="784"/>
      <c r="AA35" s="784"/>
      <c r="AB35" s="784"/>
      <c r="AC35" s="784"/>
      <c r="AD35" s="194" t="s">
        <v>117</v>
      </c>
      <c r="AE35" s="784"/>
      <c r="AF35" s="784"/>
      <c r="AG35" s="784"/>
    </row>
    <row r="36" spans="1:33" ht="15" customHeight="1">
      <c r="A36" s="178" t="s">
        <v>113</v>
      </c>
      <c r="B36" s="1099" t="s">
        <v>118</v>
      </c>
      <c r="C36" s="352">
        <f>'P-DP Estimate'!I48</f>
        <v>0</v>
      </c>
      <c r="D36" s="1100">
        <f ca="1">'P-Escalation'!J58</f>
        <v>0</v>
      </c>
      <c r="E36" s="1094"/>
      <c r="F36" s="784"/>
      <c r="O36" s="784"/>
      <c r="P36" s="784"/>
      <c r="Q36" s="784"/>
      <c r="R36" s="784"/>
      <c r="S36" s="784"/>
      <c r="T36" s="784"/>
      <c r="U36" s="784"/>
      <c r="V36" s="784"/>
      <c r="W36" s="784"/>
      <c r="X36" s="784"/>
      <c r="Y36" s="784"/>
      <c r="Z36" s="784"/>
      <c r="AA36" s="784"/>
      <c r="AB36" s="784"/>
      <c r="AC36" s="784"/>
      <c r="AD36" s="193" t="s">
        <v>119</v>
      </c>
      <c r="AE36" s="784"/>
      <c r="AF36" s="784"/>
      <c r="AG36" s="784"/>
    </row>
    <row r="37" spans="1:33" ht="15" customHeight="1">
      <c r="A37" s="178"/>
      <c r="B37" s="784"/>
      <c r="C37" s="784"/>
      <c r="D37" s="182"/>
      <c r="E37" s="784"/>
      <c r="F37" s="784"/>
      <c r="O37" s="784"/>
      <c r="P37" s="784"/>
      <c r="Q37" s="784"/>
      <c r="R37" s="784"/>
      <c r="S37" s="784"/>
      <c r="T37" s="784"/>
      <c r="U37" s="784"/>
      <c r="V37" s="784"/>
      <c r="W37" s="784"/>
      <c r="X37" s="784"/>
      <c r="Y37" s="784"/>
      <c r="Z37" s="784"/>
      <c r="AA37" s="784"/>
      <c r="AB37" s="784"/>
      <c r="AC37" s="784"/>
      <c r="AD37" s="193" t="s">
        <v>120</v>
      </c>
      <c r="AE37" s="763"/>
      <c r="AF37" s="784"/>
      <c r="AG37" s="763"/>
    </row>
    <row r="38" spans="1:33" ht="15" customHeight="1">
      <c r="A38" s="178"/>
      <c r="B38" s="765" t="s">
        <v>121</v>
      </c>
      <c r="C38" s="765" t="s">
        <v>111</v>
      </c>
      <c r="D38" s="765" t="s">
        <v>91</v>
      </c>
      <c r="E38" s="784"/>
      <c r="F38" s="784"/>
      <c r="O38" s="784"/>
      <c r="P38" s="784"/>
      <c r="Q38" s="784"/>
      <c r="R38" s="784"/>
      <c r="S38" s="784"/>
      <c r="T38" s="784"/>
      <c r="U38" s="784"/>
      <c r="V38" s="784"/>
      <c r="W38" s="784"/>
      <c r="X38" s="784"/>
      <c r="Y38" s="784"/>
      <c r="Z38" s="784"/>
      <c r="AA38" s="784"/>
      <c r="AB38" s="784"/>
      <c r="AC38" s="784"/>
      <c r="AD38" s="193" t="s">
        <v>122</v>
      </c>
      <c r="AE38" s="763"/>
      <c r="AF38" s="784"/>
      <c r="AG38" s="763"/>
    </row>
    <row r="39" spans="1:33" ht="15" customHeight="1">
      <c r="A39" s="178"/>
      <c r="B39" s="1101" t="s">
        <v>123</v>
      </c>
      <c r="C39" s="1102"/>
      <c r="D39" s="1103"/>
      <c r="E39" s="1104"/>
      <c r="F39" s="784"/>
      <c r="G39" s="195" t="s">
        <v>124</v>
      </c>
      <c r="H39" s="197" t="e">
        <f>'P-Type 1 Prog'!E5</f>
        <v>#DIV/0!</v>
      </c>
      <c r="I39" s="195" t="s">
        <v>125</v>
      </c>
      <c r="J39" s="195"/>
      <c r="K39" s="197" t="e">
        <f>'P-Type 2 Prog'!E5</f>
        <v>#DIV/0!</v>
      </c>
      <c r="L39" s="195" t="s">
        <v>126</v>
      </c>
      <c r="M39" s="197" t="e">
        <f>'P-Type 3 Prog'!E5</f>
        <v>#DIV/0!</v>
      </c>
      <c r="N39" s="197"/>
      <c r="O39" s="784"/>
      <c r="P39" s="784"/>
      <c r="Q39" s="784"/>
      <c r="R39" s="784"/>
      <c r="S39" s="784"/>
      <c r="T39" s="784"/>
      <c r="U39" s="784"/>
      <c r="V39" s="784"/>
      <c r="W39" s="784"/>
      <c r="X39" s="784"/>
      <c r="Y39" s="784"/>
      <c r="Z39" s="784"/>
      <c r="AA39" s="784"/>
      <c r="AB39" s="784"/>
      <c r="AC39" s="784"/>
      <c r="AD39" s="193" t="s">
        <v>127</v>
      </c>
      <c r="AE39" s="763"/>
      <c r="AF39" s="784"/>
      <c r="AG39" s="763"/>
    </row>
    <row r="40" spans="1:33" ht="15" customHeight="1">
      <c r="A40" s="178"/>
      <c r="B40" s="1070" t="s">
        <v>128</v>
      </c>
      <c r="C40" s="1094"/>
      <c r="D40" s="1105"/>
      <c r="E40" s="1104"/>
      <c r="F40" s="784"/>
      <c r="O40" s="784"/>
      <c r="P40" s="784"/>
      <c r="Q40" s="784"/>
      <c r="R40" s="784"/>
      <c r="S40" s="784"/>
      <c r="T40" s="784"/>
      <c r="U40" s="784"/>
      <c r="V40" s="784"/>
      <c r="W40" s="784"/>
      <c r="X40" s="784"/>
      <c r="Y40" s="784"/>
      <c r="Z40" s="784"/>
      <c r="AA40" s="784"/>
      <c r="AB40" s="784"/>
      <c r="AC40" s="784"/>
      <c r="AD40" s="193" t="s">
        <v>129</v>
      </c>
      <c r="AE40" s="763"/>
      <c r="AF40" s="784"/>
      <c r="AG40" s="763"/>
    </row>
    <row r="41" spans="1:33" ht="15" customHeight="1">
      <c r="A41" s="178"/>
      <c r="B41" s="1070" t="s">
        <v>130</v>
      </c>
      <c r="C41" s="1094"/>
      <c r="D41" s="1103"/>
      <c r="E41" s="1104"/>
      <c r="F41" s="784"/>
      <c r="O41" s="784"/>
      <c r="P41" s="784"/>
      <c r="Q41" s="784"/>
      <c r="R41" s="784"/>
      <c r="S41" s="784"/>
      <c r="T41" s="784"/>
      <c r="U41" s="784"/>
      <c r="V41" s="784"/>
      <c r="W41" s="784"/>
      <c r="X41" s="784"/>
      <c r="Y41" s="784"/>
      <c r="Z41" s="784"/>
      <c r="AA41" s="784"/>
      <c r="AB41" s="784"/>
      <c r="AC41" s="784"/>
      <c r="AD41" s="193" t="s">
        <v>131</v>
      </c>
      <c r="AE41" s="763"/>
      <c r="AF41" s="784"/>
      <c r="AG41" s="763"/>
    </row>
    <row r="42" spans="1:33" ht="15" customHeight="1" thickBot="1">
      <c r="A42" s="178"/>
      <c r="B42" s="1070" t="s">
        <v>132</v>
      </c>
      <c r="C42" s="1094"/>
      <c r="D42" s="1105"/>
      <c r="E42" s="1104"/>
      <c r="F42" s="784"/>
      <c r="O42" s="784"/>
      <c r="P42" s="784"/>
      <c r="Q42" s="784"/>
      <c r="R42" s="784"/>
      <c r="S42" s="784"/>
      <c r="T42" s="784"/>
      <c r="U42" s="784"/>
      <c r="V42" s="784"/>
      <c r="W42" s="784"/>
      <c r="X42" s="784"/>
      <c r="Y42" s="784"/>
      <c r="Z42" s="784"/>
      <c r="AA42" s="784"/>
      <c r="AB42" s="784"/>
      <c r="AC42" s="784"/>
      <c r="AD42" s="193" t="s">
        <v>133</v>
      </c>
      <c r="AE42" s="763"/>
      <c r="AF42" s="784"/>
      <c r="AG42" s="763"/>
    </row>
    <row r="43" spans="1:33" ht="15" customHeight="1" thickBot="1">
      <c r="A43" s="178"/>
      <c r="B43" s="784"/>
      <c r="C43" s="784"/>
      <c r="D43" s="784"/>
      <c r="E43" s="784"/>
      <c r="F43" s="784"/>
      <c r="H43" s="855" t="s">
        <v>134</v>
      </c>
      <c r="I43" s="856"/>
      <c r="J43" s="856"/>
      <c r="K43" s="856"/>
      <c r="L43" s="856"/>
      <c r="M43" s="856"/>
      <c r="O43" s="857" t="s">
        <v>135</v>
      </c>
      <c r="P43" s="858"/>
      <c r="Q43" s="858"/>
      <c r="R43" s="858"/>
      <c r="S43" s="859"/>
      <c r="T43" s="844" t="s">
        <v>136</v>
      </c>
      <c r="U43" s="845"/>
      <c r="V43" s="846"/>
      <c r="W43" s="784"/>
      <c r="X43" s="784"/>
      <c r="Y43" s="784"/>
      <c r="Z43" s="784"/>
      <c r="AA43" s="784"/>
      <c r="AB43" s="784"/>
      <c r="AC43" s="784"/>
      <c r="AD43" s="193" t="s">
        <v>137</v>
      </c>
      <c r="AE43" s="763"/>
      <c r="AF43" s="784"/>
      <c r="AG43" s="763"/>
    </row>
    <row r="44" spans="1:33" ht="58.5" customHeight="1" thickBot="1">
      <c r="A44" s="178"/>
      <c r="B44" s="765" t="s">
        <v>138</v>
      </c>
      <c r="C44" s="765" t="s">
        <v>139</v>
      </c>
      <c r="D44" s="765" t="s">
        <v>91</v>
      </c>
      <c r="E44" s="784"/>
      <c r="F44" s="784"/>
      <c r="H44" s="847" t="s">
        <v>140</v>
      </c>
      <c r="I44" s="848"/>
      <c r="J44" s="488" t="s">
        <v>141</v>
      </c>
      <c r="K44" s="487" t="s">
        <v>142</v>
      </c>
      <c r="L44" s="487" t="s">
        <v>143</v>
      </c>
      <c r="M44" s="483" t="s">
        <v>144</v>
      </c>
      <c r="O44" s="498" t="s">
        <v>145</v>
      </c>
      <c r="P44" s="499" t="str">
        <f>J44</f>
        <v>Inflation</v>
      </c>
      <c r="Q44" s="499" t="str">
        <f>K44</f>
        <v>Tariff</v>
      </c>
      <c r="R44" s="499" t="str">
        <f>L44</f>
        <v>Wage</v>
      </c>
      <c r="S44" s="499" t="str">
        <f>M44</f>
        <v>Geo-Political Spike</v>
      </c>
      <c r="T44" s="495" t="s">
        <v>146</v>
      </c>
      <c r="U44" s="494" t="s">
        <v>147</v>
      </c>
      <c r="V44" s="493" t="s">
        <v>103</v>
      </c>
      <c r="W44" s="784"/>
      <c r="X44" s="784"/>
      <c r="Y44" s="784"/>
      <c r="Z44" s="784"/>
      <c r="AA44" s="784"/>
      <c r="AB44" s="784"/>
      <c r="AC44" s="784"/>
      <c r="AD44" s="193" t="s">
        <v>148</v>
      </c>
      <c r="AE44" s="763"/>
      <c r="AF44" s="784"/>
      <c r="AG44" s="763"/>
    </row>
    <row r="45" spans="1:33" ht="15" customHeight="1" thickBot="1">
      <c r="A45" s="178"/>
      <c r="B45" s="1070" t="s">
        <v>149</v>
      </c>
      <c r="C45" s="1106" t="s">
        <v>32</v>
      </c>
      <c r="D45" s="1105"/>
      <c r="E45" s="1104"/>
      <c r="F45" s="784"/>
      <c r="H45" s="860" t="s">
        <v>150</v>
      </c>
      <c r="I45" s="861"/>
      <c r="J45" s="485" t="s">
        <v>151</v>
      </c>
      <c r="K45" s="484" t="s">
        <v>152</v>
      </c>
      <c r="L45" s="484" t="s">
        <v>153</v>
      </c>
      <c r="M45" s="491" t="s">
        <v>154</v>
      </c>
      <c r="O45" s="464" t="s">
        <v>150</v>
      </c>
      <c r="P45" s="466" t="s">
        <v>151</v>
      </c>
      <c r="Q45" s="466" t="s">
        <v>152</v>
      </c>
      <c r="R45" s="466" t="s">
        <v>153</v>
      </c>
      <c r="S45" s="466" t="s">
        <v>154</v>
      </c>
      <c r="T45" s="465" t="s">
        <v>155</v>
      </c>
      <c r="U45" s="465" t="s">
        <v>156</v>
      </c>
      <c r="V45" s="467" t="s">
        <v>157</v>
      </c>
      <c r="W45" s="784"/>
      <c r="X45" s="784"/>
      <c r="Y45" s="784"/>
      <c r="Z45" s="784"/>
      <c r="AA45" s="784"/>
      <c r="AB45" s="784"/>
      <c r="AC45" s="784"/>
      <c r="AD45" s="193" t="s">
        <v>158</v>
      </c>
      <c r="AE45" s="763"/>
      <c r="AF45" s="784"/>
      <c r="AG45" s="763"/>
    </row>
    <row r="46" spans="1:33" ht="15" customHeight="1" thickBot="1">
      <c r="A46" s="178"/>
      <c r="B46" s="1070" t="s">
        <v>159</v>
      </c>
      <c r="C46" s="1106"/>
      <c r="D46" s="1105"/>
      <c r="E46" s="1104"/>
      <c r="F46" s="784"/>
      <c r="H46" s="849" t="s">
        <v>97</v>
      </c>
      <c r="I46" s="850"/>
      <c r="J46" s="474" t="s">
        <v>160</v>
      </c>
      <c r="K46" s="449"/>
      <c r="L46" s="449" t="s">
        <v>160</v>
      </c>
      <c r="M46" s="486"/>
      <c r="O46" s="468"/>
      <c r="P46" s="469"/>
      <c r="Q46" s="469"/>
      <c r="R46" s="469"/>
      <c r="S46" s="469"/>
      <c r="T46" s="470" t="s">
        <v>161</v>
      </c>
      <c r="U46" s="470" t="s">
        <v>161</v>
      </c>
      <c r="V46" s="471" t="s">
        <v>161</v>
      </c>
      <c r="W46" s="784"/>
      <c r="X46" s="784"/>
      <c r="Y46" s="784"/>
      <c r="Z46" s="784"/>
      <c r="AA46" s="784"/>
      <c r="AB46" s="784"/>
      <c r="AC46" s="784"/>
      <c r="AD46" s="193" t="s">
        <v>162</v>
      </c>
      <c r="AE46" s="763"/>
      <c r="AF46" s="784"/>
      <c r="AG46" s="763"/>
    </row>
    <row r="47" spans="1:33" ht="15" customHeight="1">
      <c r="A47" s="178"/>
      <c r="B47" s="1070" t="s">
        <v>163</v>
      </c>
      <c r="C47" s="1107">
        <f>(C46+C48)/2</f>
        <v>0</v>
      </c>
      <c r="D47" s="1105"/>
      <c r="E47" s="1104"/>
      <c r="F47" s="784"/>
      <c r="H47" s="851" t="s">
        <v>99</v>
      </c>
      <c r="I47" s="852"/>
      <c r="J47" s="802" t="s">
        <v>160</v>
      </c>
      <c r="K47" s="1108"/>
      <c r="L47" s="1108" t="s">
        <v>160</v>
      </c>
      <c r="M47" s="803"/>
      <c r="O47" s="463">
        <v>2026</v>
      </c>
      <c r="P47" s="489">
        <v>3.5000000000000003E-2</v>
      </c>
      <c r="Q47" s="489">
        <v>5.0000000000000001E-3</v>
      </c>
      <c r="R47" s="489">
        <v>5.0000000000000001E-3</v>
      </c>
      <c r="S47" s="489">
        <v>0.03</v>
      </c>
      <c r="T47" s="490">
        <f>P47+R47</f>
        <v>0.04</v>
      </c>
      <c r="U47" s="490">
        <f>P47+Q47+R47+S47</f>
        <v>7.4999999999999997E-2</v>
      </c>
      <c r="V47" s="492">
        <f>P47+Q47+S47</f>
        <v>7.0000000000000007E-2</v>
      </c>
      <c r="W47" s="784"/>
      <c r="X47" s="784"/>
      <c r="Y47" s="784"/>
      <c r="Z47" s="784"/>
      <c r="AA47" s="784"/>
      <c r="AB47" s="784"/>
      <c r="AC47" s="784"/>
      <c r="AD47" s="193" t="s">
        <v>164</v>
      </c>
      <c r="AE47" s="763"/>
      <c r="AF47" s="784"/>
      <c r="AG47" s="763"/>
    </row>
    <row r="48" spans="1:33" ht="15" customHeight="1">
      <c r="A48" s="178"/>
      <c r="B48" s="1070" t="s">
        <v>165</v>
      </c>
      <c r="C48" s="1106"/>
      <c r="D48" s="1105"/>
      <c r="E48" s="1104"/>
      <c r="F48" s="784"/>
      <c r="G48" s="759"/>
      <c r="H48" s="851" t="s">
        <v>101</v>
      </c>
      <c r="I48" s="852"/>
      <c r="J48" s="802" t="s">
        <v>160</v>
      </c>
      <c r="K48" s="1108"/>
      <c r="L48" s="1108" t="s">
        <v>160</v>
      </c>
      <c r="M48" s="803"/>
      <c r="O48" s="804">
        <v>2027</v>
      </c>
      <c r="P48" s="1109">
        <v>3.5000000000000003E-2</v>
      </c>
      <c r="Q48" s="1109">
        <v>0</v>
      </c>
      <c r="R48" s="1109">
        <v>5.0000000000000001E-3</v>
      </c>
      <c r="S48" s="1109">
        <v>0</v>
      </c>
      <c r="T48" s="1110">
        <f t="shared" ref="T48:T49" si="0">P48+R48</f>
        <v>0.04</v>
      </c>
      <c r="U48" s="1110">
        <f t="shared" ref="U48:U49" si="1">P48+Q48+R48+S48</f>
        <v>0.04</v>
      </c>
      <c r="V48" s="805">
        <f t="shared" ref="V48:V49" si="2">P48+Q48+S48</f>
        <v>3.5000000000000003E-2</v>
      </c>
      <c r="W48" s="784"/>
      <c r="X48" s="784"/>
      <c r="Y48" s="784"/>
      <c r="Z48" s="784"/>
      <c r="AA48" s="784"/>
      <c r="AB48" s="784"/>
      <c r="AC48" s="784"/>
      <c r="AD48" s="193" t="s">
        <v>166</v>
      </c>
      <c r="AE48" s="763"/>
      <c r="AF48" s="784"/>
      <c r="AG48" s="763"/>
    </row>
    <row r="49" spans="1:30" ht="15" customHeight="1">
      <c r="A49" s="454">
        <v>1</v>
      </c>
      <c r="B49" s="1111">
        <f>O47</f>
        <v>2026</v>
      </c>
      <c r="C49" s="1112">
        <f>P47</f>
        <v>3.5000000000000003E-2</v>
      </c>
      <c r="D49" s="1105"/>
      <c r="E49" s="1104"/>
      <c r="F49" s="784"/>
      <c r="G49" s="759"/>
      <c r="H49" s="853" t="s">
        <v>95</v>
      </c>
      <c r="I49" s="854"/>
      <c r="J49" s="802" t="s">
        <v>160</v>
      </c>
      <c r="K49" s="1108" t="s">
        <v>160</v>
      </c>
      <c r="L49" s="1108" t="s">
        <v>160</v>
      </c>
      <c r="M49" s="803" t="s">
        <v>160</v>
      </c>
      <c r="O49" s="806">
        <v>2028</v>
      </c>
      <c r="P49" s="1109">
        <v>3.5000000000000003E-2</v>
      </c>
      <c r="Q49" s="1109">
        <v>0</v>
      </c>
      <c r="R49" s="1109">
        <v>0</v>
      </c>
      <c r="S49" s="1109">
        <v>0</v>
      </c>
      <c r="T49" s="1110">
        <f t="shared" si="0"/>
        <v>3.5000000000000003E-2</v>
      </c>
      <c r="U49" s="1110">
        <f t="shared" si="1"/>
        <v>3.5000000000000003E-2</v>
      </c>
      <c r="V49" s="805">
        <f t="shared" si="2"/>
        <v>3.5000000000000003E-2</v>
      </c>
      <c r="W49" s="784"/>
      <c r="X49" s="784"/>
      <c r="Y49" s="784"/>
      <c r="Z49" s="784"/>
      <c r="AA49" s="784"/>
      <c r="AB49" s="784"/>
      <c r="AC49" s="784"/>
      <c r="AD49" s="193" t="s">
        <v>167</v>
      </c>
    </row>
    <row r="50" spans="1:30" ht="15" customHeight="1" thickBot="1">
      <c r="A50" s="455">
        <v>2.1</v>
      </c>
      <c r="B50" s="1113">
        <f>O47</f>
        <v>2026</v>
      </c>
      <c r="C50" s="1112">
        <f>Q47</f>
        <v>5.0000000000000001E-3</v>
      </c>
      <c r="D50" s="1105"/>
      <c r="E50" s="1104"/>
      <c r="F50" s="784"/>
      <c r="G50" s="759"/>
      <c r="H50" s="842" t="s">
        <v>103</v>
      </c>
      <c r="I50" s="843"/>
      <c r="J50" s="802" t="s">
        <v>160</v>
      </c>
      <c r="K50" s="1108" t="s">
        <v>160</v>
      </c>
      <c r="L50" s="1108"/>
      <c r="M50" s="803" t="s">
        <v>160</v>
      </c>
      <c r="O50" s="1114"/>
      <c r="P50" s="807"/>
      <c r="Q50" s="807"/>
      <c r="R50" s="807"/>
      <c r="S50" s="807"/>
      <c r="T50" s="808"/>
      <c r="U50" s="809"/>
      <c r="V50" s="810"/>
      <c r="W50" s="784"/>
      <c r="X50" s="784"/>
      <c r="Y50" s="784"/>
      <c r="Z50" s="784"/>
      <c r="AA50" s="784"/>
      <c r="AB50" s="784"/>
      <c r="AC50" s="784"/>
      <c r="AD50" s="193" t="s">
        <v>168</v>
      </c>
    </row>
    <row r="51" spans="1:30" ht="15" customHeight="1" thickBot="1">
      <c r="A51" s="456">
        <v>2.2000000000000002</v>
      </c>
      <c r="B51" s="1115">
        <f>O47</f>
        <v>2026</v>
      </c>
      <c r="C51" s="1112">
        <f>R47</f>
        <v>5.0000000000000001E-3</v>
      </c>
      <c r="D51" s="1105"/>
      <c r="E51" s="1104"/>
      <c r="F51" s="784"/>
      <c r="G51" s="759"/>
      <c r="H51" s="840" t="s">
        <v>105</v>
      </c>
      <c r="I51" s="841"/>
      <c r="J51" s="811" t="s">
        <v>160</v>
      </c>
      <c r="K51" s="812" t="s">
        <v>160</v>
      </c>
      <c r="L51" s="812" t="s">
        <v>160</v>
      </c>
      <c r="M51" s="813" t="s">
        <v>160</v>
      </c>
      <c r="O51" s="784"/>
      <c r="P51" s="784"/>
      <c r="Q51" s="784"/>
      <c r="R51" s="784"/>
      <c r="S51" s="784"/>
      <c r="T51" s="784"/>
      <c r="U51" s="784"/>
      <c r="V51" s="784"/>
      <c r="W51" s="784"/>
      <c r="X51" s="784"/>
      <c r="Y51" s="784"/>
      <c r="Z51" s="784"/>
      <c r="AA51" s="784"/>
      <c r="AB51" s="784"/>
      <c r="AC51" s="784"/>
      <c r="AD51" s="193"/>
    </row>
    <row r="52" spans="1:30" ht="15" customHeight="1">
      <c r="A52" s="456">
        <v>2.2999999999999998</v>
      </c>
      <c r="B52" s="1116">
        <v>2026</v>
      </c>
      <c r="C52" s="1112">
        <f>S47</f>
        <v>0.03</v>
      </c>
      <c r="D52" s="1105"/>
      <c r="E52" s="1104"/>
      <c r="F52" s="784"/>
      <c r="G52" s="759"/>
      <c r="H52" s="496"/>
      <c r="I52" s="496"/>
      <c r="J52" s="497"/>
      <c r="K52" s="497"/>
      <c r="L52" s="497"/>
      <c r="M52" s="497"/>
      <c r="O52" s="784"/>
      <c r="P52" s="784"/>
      <c r="Q52" s="784"/>
      <c r="R52" s="784"/>
      <c r="S52" s="784"/>
      <c r="T52" s="784"/>
      <c r="U52" s="784"/>
      <c r="V52" s="784"/>
      <c r="W52" s="784"/>
      <c r="X52" s="784"/>
      <c r="Y52" s="784"/>
      <c r="Z52" s="784"/>
      <c r="AA52" s="784"/>
      <c r="AB52" s="784"/>
      <c r="AC52" s="784"/>
      <c r="AD52" s="193"/>
    </row>
    <row r="53" spans="1:30" ht="15" customHeight="1">
      <c r="A53" s="457">
        <v>3.1</v>
      </c>
      <c r="B53" s="1117">
        <f>O48</f>
        <v>2027</v>
      </c>
      <c r="C53" s="1118">
        <f>Q48</f>
        <v>0</v>
      </c>
      <c r="D53" s="1105"/>
      <c r="E53" s="1104"/>
      <c r="F53" s="784"/>
      <c r="G53" s="759"/>
      <c r="H53" s="759"/>
      <c r="I53" s="759"/>
      <c r="J53" s="759"/>
      <c r="K53" s="759"/>
      <c r="L53" s="759"/>
      <c r="O53" s="784"/>
      <c r="P53" s="784"/>
      <c r="Q53" s="784"/>
      <c r="R53" s="784"/>
      <c r="S53" s="784"/>
      <c r="T53" s="784"/>
      <c r="U53" s="784"/>
      <c r="V53" s="784"/>
      <c r="W53" s="784"/>
      <c r="X53" s="784"/>
      <c r="Y53" s="784"/>
      <c r="Z53" s="784"/>
      <c r="AA53" s="784"/>
      <c r="AB53" s="784"/>
      <c r="AC53" s="784"/>
      <c r="AD53" s="193" t="s">
        <v>169</v>
      </c>
    </row>
    <row r="54" spans="1:30" ht="15" customHeight="1">
      <c r="A54" s="458">
        <v>3.2</v>
      </c>
      <c r="B54" s="1119">
        <f>O48</f>
        <v>2027</v>
      </c>
      <c r="C54" s="1120">
        <f>R48</f>
        <v>5.0000000000000001E-3</v>
      </c>
      <c r="D54" s="1105"/>
      <c r="E54" s="1104"/>
      <c r="F54" s="784"/>
      <c r="O54" s="784"/>
      <c r="P54" s="784"/>
      <c r="Q54" s="784"/>
      <c r="R54" s="784"/>
      <c r="S54" s="784"/>
      <c r="T54" s="784"/>
      <c r="U54" s="784"/>
      <c r="V54" s="784"/>
      <c r="W54" s="784"/>
      <c r="X54" s="784"/>
      <c r="Y54" s="784"/>
      <c r="Z54" s="784"/>
      <c r="AA54" s="784"/>
      <c r="AB54" s="784"/>
      <c r="AC54" s="784"/>
      <c r="AD54" s="193"/>
    </row>
    <row r="55" spans="1:30" ht="15" customHeight="1">
      <c r="A55" s="458">
        <v>3.3</v>
      </c>
      <c r="B55" s="1121">
        <v>2026</v>
      </c>
      <c r="C55" s="1120">
        <f>S48</f>
        <v>0</v>
      </c>
      <c r="D55" s="1105"/>
      <c r="E55" s="1104"/>
      <c r="F55" s="784"/>
      <c r="O55" s="784"/>
      <c r="P55" s="784"/>
      <c r="Q55" s="784"/>
      <c r="R55" s="784"/>
      <c r="S55" s="784"/>
      <c r="T55" s="784"/>
      <c r="U55" s="784"/>
      <c r="V55" s="784"/>
      <c r="W55" s="784"/>
      <c r="X55" s="784"/>
      <c r="Y55" s="784"/>
      <c r="Z55" s="784"/>
      <c r="AA55" s="784"/>
      <c r="AB55" s="784"/>
      <c r="AC55" s="784"/>
      <c r="AD55" s="193"/>
    </row>
    <row r="56" spans="1:30" ht="15" customHeight="1">
      <c r="A56" s="459">
        <v>4.0999999999999996</v>
      </c>
      <c r="B56" s="1122">
        <f>O49</f>
        <v>2028</v>
      </c>
      <c r="C56" s="1123">
        <f>Q49</f>
        <v>0</v>
      </c>
      <c r="D56" s="1105"/>
      <c r="E56" s="1104"/>
      <c r="F56" s="784"/>
      <c r="O56" s="784"/>
      <c r="P56" s="784"/>
      <c r="Q56" s="784"/>
      <c r="R56" s="784"/>
      <c r="S56" s="784"/>
      <c r="T56" s="784"/>
      <c r="U56" s="784"/>
      <c r="V56" s="784"/>
      <c r="W56" s="784"/>
      <c r="X56" s="784"/>
      <c r="Y56" s="784"/>
      <c r="Z56" s="784"/>
      <c r="AA56" s="784"/>
      <c r="AB56" s="784"/>
      <c r="AC56" s="784"/>
      <c r="AD56" s="193" t="s">
        <v>169</v>
      </c>
    </row>
    <row r="57" spans="1:30" ht="15" customHeight="1">
      <c r="A57" s="459">
        <v>4.2</v>
      </c>
      <c r="B57" s="1124">
        <f>O49</f>
        <v>2028</v>
      </c>
      <c r="C57" s="1123">
        <f>R49</f>
        <v>0</v>
      </c>
      <c r="D57" s="1105"/>
      <c r="E57" s="1104"/>
      <c r="F57" s="784"/>
      <c r="O57" s="784"/>
      <c r="P57" s="784"/>
      <c r="Q57" s="784"/>
      <c r="R57" s="784"/>
      <c r="S57" s="784"/>
      <c r="T57" s="784"/>
      <c r="U57" s="784"/>
      <c r="V57" s="784"/>
      <c r="W57" s="784"/>
      <c r="X57" s="784"/>
      <c r="Y57" s="784"/>
      <c r="Z57" s="784"/>
      <c r="AA57" s="784"/>
      <c r="AB57" s="784"/>
      <c r="AC57" s="784"/>
      <c r="AD57" s="193"/>
    </row>
    <row r="58" spans="1:30" ht="15" customHeight="1">
      <c r="A58" s="459">
        <v>4.3</v>
      </c>
      <c r="B58" s="1125">
        <f>O49</f>
        <v>2028</v>
      </c>
      <c r="C58" s="1123">
        <f>S49</f>
        <v>0</v>
      </c>
      <c r="D58" s="1105"/>
      <c r="E58" s="1104"/>
      <c r="F58" s="784"/>
      <c r="O58" s="784"/>
      <c r="P58" s="784"/>
      <c r="Q58" s="784"/>
      <c r="R58" s="784"/>
      <c r="S58" s="784"/>
      <c r="T58" s="784"/>
      <c r="U58" s="784"/>
      <c r="V58" s="784"/>
      <c r="W58" s="784"/>
      <c r="X58" s="784"/>
      <c r="Y58" s="784"/>
      <c r="Z58" s="784"/>
      <c r="AA58" s="784"/>
      <c r="AB58" s="784"/>
      <c r="AC58" s="784"/>
      <c r="AD58" s="193"/>
    </row>
    <row r="59" spans="1:30" ht="15" customHeight="1">
      <c r="A59" s="178"/>
      <c r="B59" s="1070" t="s">
        <v>170</v>
      </c>
      <c r="C59" s="1106"/>
      <c r="D59" s="1105"/>
      <c r="E59" s="1104"/>
      <c r="F59" s="784"/>
      <c r="O59" s="784"/>
      <c r="P59" s="784"/>
      <c r="Q59" s="784"/>
      <c r="R59" s="784"/>
      <c r="S59" s="784"/>
      <c r="T59" s="784"/>
      <c r="U59" s="784"/>
      <c r="V59" s="784"/>
      <c r="W59" s="784"/>
      <c r="X59" s="784"/>
      <c r="Y59" s="784"/>
      <c r="Z59" s="784"/>
      <c r="AA59" s="784"/>
      <c r="AB59" s="784"/>
      <c r="AC59" s="784"/>
      <c r="AD59" s="193" t="s">
        <v>171</v>
      </c>
    </row>
    <row r="60" spans="1:30" ht="15" customHeight="1">
      <c r="A60" s="178"/>
      <c r="B60" s="784"/>
      <c r="C60" s="784"/>
      <c r="D60" s="784"/>
      <c r="E60" s="784"/>
      <c r="F60" s="784"/>
      <c r="O60" s="784"/>
      <c r="P60" s="784"/>
      <c r="Q60" s="784"/>
      <c r="R60" s="784"/>
      <c r="S60" s="784"/>
      <c r="T60" s="784"/>
      <c r="U60" s="784"/>
      <c r="V60" s="784"/>
      <c r="W60" s="784"/>
      <c r="X60" s="784"/>
      <c r="Y60" s="784"/>
      <c r="Z60" s="784"/>
      <c r="AA60" s="784"/>
      <c r="AB60" s="784"/>
      <c r="AC60" s="784"/>
      <c r="AD60" s="193"/>
    </row>
    <row r="61" spans="1:30" ht="15" customHeight="1">
      <c r="A61" s="178"/>
      <c r="B61" s="784"/>
      <c r="C61" s="784"/>
      <c r="D61" s="784"/>
      <c r="E61" s="784"/>
      <c r="F61" s="784"/>
      <c r="O61" s="784"/>
      <c r="P61" s="784"/>
      <c r="Q61" s="784"/>
      <c r="R61" s="784"/>
      <c r="S61" s="784"/>
      <c r="T61" s="784"/>
      <c r="U61" s="784"/>
      <c r="V61" s="784"/>
      <c r="W61" s="784"/>
      <c r="X61" s="784"/>
      <c r="Y61" s="784"/>
      <c r="Z61" s="784"/>
      <c r="AA61" s="784"/>
      <c r="AB61" s="784"/>
      <c r="AC61" s="784"/>
      <c r="AD61" s="193"/>
    </row>
    <row r="62" spans="1:30" ht="15" customHeight="1">
      <c r="A62" s="178"/>
      <c r="B62" s="784"/>
      <c r="C62" s="784"/>
      <c r="D62" s="784"/>
      <c r="E62" s="784"/>
      <c r="F62" s="784"/>
      <c r="O62" s="784"/>
      <c r="P62" s="784"/>
      <c r="Q62" s="784"/>
      <c r="R62" s="784"/>
      <c r="S62" s="784"/>
      <c r="T62" s="784"/>
      <c r="U62" s="784"/>
      <c r="V62" s="784"/>
      <c r="W62" s="784"/>
      <c r="X62" s="784"/>
      <c r="Y62" s="784"/>
      <c r="Z62" s="784"/>
      <c r="AA62" s="784"/>
      <c r="AB62" s="784"/>
      <c r="AC62" s="784"/>
      <c r="AD62" s="193" t="s">
        <v>172</v>
      </c>
    </row>
    <row r="63" spans="1:30" ht="15" customHeight="1">
      <c r="A63" s="784"/>
      <c r="B63" s="784"/>
      <c r="C63" s="784"/>
      <c r="D63" s="784"/>
      <c r="E63" s="784"/>
      <c r="F63" s="784"/>
      <c r="O63" s="784"/>
      <c r="P63" s="784"/>
      <c r="Q63" s="784"/>
      <c r="R63" s="784"/>
      <c r="S63" s="784"/>
      <c r="T63" s="784"/>
      <c r="U63" s="784"/>
      <c r="V63" s="784"/>
      <c r="W63" s="784"/>
      <c r="X63" s="784"/>
      <c r="Y63" s="784"/>
      <c r="Z63" s="784"/>
      <c r="AA63" s="784"/>
      <c r="AB63" s="784"/>
      <c r="AC63" s="784"/>
      <c r="AD63" s="193" t="s">
        <v>173</v>
      </c>
    </row>
    <row r="64" spans="1:30" ht="15" customHeight="1">
      <c r="A64" s="760">
        <v>1</v>
      </c>
      <c r="B64" s="6" t="s">
        <v>174</v>
      </c>
      <c r="C64" s="784"/>
      <c r="D64" s="784"/>
      <c r="E64" s="784"/>
      <c r="F64" s="784"/>
      <c r="O64" s="784"/>
      <c r="P64" s="784"/>
      <c r="Q64" s="784"/>
      <c r="R64" s="784"/>
      <c r="S64" s="784"/>
      <c r="T64" s="784"/>
      <c r="U64" s="784"/>
      <c r="V64" s="784"/>
      <c r="W64" s="784"/>
      <c r="X64" s="784"/>
      <c r="Y64" s="784"/>
      <c r="Z64" s="784"/>
      <c r="AA64" s="784"/>
      <c r="AB64" s="784"/>
      <c r="AC64" s="784"/>
      <c r="AD64" s="193" t="s">
        <v>175</v>
      </c>
    </row>
    <row r="65" spans="1:30" ht="15" customHeight="1">
      <c r="A65" s="760">
        <v>2</v>
      </c>
      <c r="B65" s="6" t="s">
        <v>176</v>
      </c>
      <c r="C65" s="784"/>
      <c r="D65" s="784"/>
      <c r="E65" s="784"/>
      <c r="F65" s="784"/>
      <c r="O65" s="784"/>
      <c r="P65" s="784"/>
      <c r="Q65" s="784"/>
      <c r="R65" s="784"/>
      <c r="S65" s="784"/>
      <c r="T65" s="784"/>
      <c r="U65" s="784"/>
      <c r="V65" s="784"/>
      <c r="W65" s="784"/>
      <c r="X65" s="784"/>
      <c r="Y65" s="784"/>
      <c r="Z65" s="784"/>
      <c r="AA65" s="784"/>
      <c r="AB65" s="784"/>
      <c r="AC65" s="784"/>
      <c r="AD65" s="193" t="s">
        <v>167</v>
      </c>
    </row>
    <row r="66" spans="1:30" ht="15" customHeight="1">
      <c r="A66" s="760">
        <v>3</v>
      </c>
      <c r="B66" s="6" t="s">
        <v>177</v>
      </c>
      <c r="C66" s="784"/>
      <c r="D66" s="784"/>
      <c r="E66" s="784"/>
      <c r="F66" s="784"/>
      <c r="O66" s="784"/>
      <c r="P66" s="784"/>
      <c r="Q66" s="784"/>
      <c r="R66" s="784"/>
      <c r="S66" s="784"/>
      <c r="T66" s="784"/>
      <c r="U66" s="784"/>
      <c r="V66" s="784"/>
      <c r="W66" s="784"/>
      <c r="X66" s="784"/>
      <c r="Y66" s="784"/>
      <c r="Z66" s="784"/>
      <c r="AA66" s="784"/>
      <c r="AB66" s="784"/>
      <c r="AC66" s="784"/>
      <c r="AD66" s="193" t="s">
        <v>178</v>
      </c>
    </row>
    <row r="67" spans="1:30" ht="15" customHeight="1">
      <c r="A67" s="760">
        <v>4</v>
      </c>
      <c r="B67" s="6" t="s">
        <v>179</v>
      </c>
      <c r="C67" s="784"/>
      <c r="D67" s="784"/>
      <c r="E67" s="784"/>
      <c r="F67" s="784"/>
      <c r="O67" s="784"/>
      <c r="P67" s="784"/>
      <c r="Q67" s="784"/>
      <c r="R67" s="784"/>
      <c r="S67" s="784"/>
      <c r="T67" s="784"/>
      <c r="U67" s="784"/>
      <c r="V67" s="784"/>
      <c r="W67" s="784"/>
      <c r="X67" s="784"/>
      <c r="Y67" s="784"/>
      <c r="Z67" s="784"/>
      <c r="AA67" s="784"/>
      <c r="AB67" s="784"/>
      <c r="AC67" s="784"/>
      <c r="AD67" s="193" t="s">
        <v>180</v>
      </c>
    </row>
    <row r="68" spans="1:30" ht="15" customHeight="1">
      <c r="A68" s="760">
        <v>5</v>
      </c>
      <c r="B68" s="6" t="s">
        <v>181</v>
      </c>
      <c r="C68" s="784"/>
      <c r="D68" s="784"/>
      <c r="E68" s="784"/>
      <c r="F68" s="784"/>
      <c r="O68" s="784"/>
      <c r="P68" s="784"/>
      <c r="Q68" s="784"/>
      <c r="R68" s="784"/>
      <c r="S68" s="784"/>
      <c r="T68" s="784"/>
      <c r="U68" s="784"/>
      <c r="V68" s="784"/>
      <c r="W68" s="784"/>
      <c r="X68" s="784"/>
      <c r="Y68" s="784"/>
      <c r="Z68" s="784"/>
      <c r="AA68" s="784"/>
      <c r="AB68" s="784"/>
      <c r="AC68" s="784"/>
      <c r="AD68" s="193" t="s">
        <v>182</v>
      </c>
    </row>
    <row r="69" spans="1:30" ht="15" customHeight="1">
      <c r="A69" s="760">
        <v>6</v>
      </c>
      <c r="B69" s="6" t="s">
        <v>183</v>
      </c>
      <c r="C69" s="784"/>
      <c r="D69" s="784"/>
      <c r="E69" s="784"/>
      <c r="F69" s="784"/>
      <c r="O69" s="784"/>
      <c r="P69" s="784"/>
      <c r="Q69" s="784"/>
      <c r="R69" s="784"/>
      <c r="S69" s="784"/>
      <c r="T69" s="784"/>
      <c r="U69" s="784"/>
      <c r="V69" s="784"/>
      <c r="W69" s="784"/>
      <c r="X69" s="784"/>
      <c r="Y69" s="784"/>
      <c r="Z69" s="784"/>
      <c r="AA69" s="784"/>
      <c r="AB69" s="784"/>
      <c r="AC69" s="784"/>
      <c r="AD69" s="193" t="s">
        <v>184</v>
      </c>
    </row>
    <row r="70" spans="1:30" ht="15" customHeight="1">
      <c r="A70" s="784"/>
      <c r="B70" s="784"/>
      <c r="C70" s="784"/>
      <c r="D70" s="784"/>
      <c r="E70" s="784"/>
      <c r="F70" s="784"/>
      <c r="O70" s="784"/>
      <c r="P70" s="784"/>
      <c r="Q70" s="784"/>
      <c r="R70" s="784"/>
      <c r="S70" s="784"/>
      <c r="T70" s="784"/>
      <c r="U70" s="784"/>
      <c r="V70" s="784"/>
      <c r="W70" s="784"/>
      <c r="X70" s="784"/>
      <c r="Y70" s="784"/>
      <c r="Z70" s="784"/>
      <c r="AA70" s="784"/>
      <c r="AB70" s="784"/>
      <c r="AC70" s="784"/>
      <c r="AD70" s="193" t="s">
        <v>185</v>
      </c>
    </row>
    <row r="71" spans="1:30" ht="15" customHeight="1">
      <c r="A71" s="784"/>
      <c r="B71" s="784"/>
      <c r="C71" s="784"/>
      <c r="D71" s="784"/>
      <c r="E71" s="784"/>
      <c r="F71" s="784"/>
      <c r="O71" s="784"/>
      <c r="P71" s="784"/>
      <c r="Q71" s="784"/>
      <c r="R71" s="784"/>
      <c r="S71" s="784"/>
      <c r="T71" s="784"/>
      <c r="U71" s="784"/>
      <c r="V71" s="784"/>
      <c r="W71" s="784"/>
      <c r="X71" s="784"/>
      <c r="Y71" s="784"/>
      <c r="Z71" s="784"/>
      <c r="AA71" s="784"/>
      <c r="AB71" s="784"/>
      <c r="AC71" s="784"/>
      <c r="AD71" s="193" t="s">
        <v>186</v>
      </c>
    </row>
    <row r="72" spans="1:30" ht="15" customHeight="1">
      <c r="A72" s="784"/>
      <c r="B72" s="784"/>
      <c r="C72" s="784"/>
      <c r="D72" s="784"/>
      <c r="E72" s="784"/>
      <c r="F72" s="784"/>
      <c r="O72" s="784"/>
      <c r="P72" s="784"/>
      <c r="Q72" s="784"/>
      <c r="R72" s="784"/>
      <c r="S72" s="784"/>
      <c r="T72" s="784"/>
      <c r="U72" s="784"/>
      <c r="V72" s="784"/>
      <c r="W72" s="784"/>
      <c r="X72" s="784"/>
      <c r="Y72" s="784"/>
      <c r="Z72" s="784"/>
      <c r="AA72" s="784"/>
      <c r="AB72" s="784"/>
      <c r="AC72" s="784"/>
      <c r="AD72" s="193" t="s">
        <v>187</v>
      </c>
    </row>
    <row r="73" spans="1:30" ht="15" customHeight="1">
      <c r="A73" s="784"/>
      <c r="B73" s="784"/>
      <c r="C73" s="784"/>
      <c r="D73" s="473" t="str">
        <f>C45</f>
        <v xml:space="preserve"> </v>
      </c>
      <c r="E73" s="784"/>
      <c r="F73" s="784"/>
      <c r="O73" s="784"/>
      <c r="P73" s="784"/>
      <c r="Q73" s="784"/>
      <c r="R73" s="784"/>
      <c r="S73" s="784"/>
      <c r="T73" s="784"/>
      <c r="U73" s="784"/>
      <c r="V73" s="784"/>
      <c r="W73" s="784"/>
      <c r="X73" s="784"/>
      <c r="Y73" s="784"/>
      <c r="Z73" s="784"/>
      <c r="AA73" s="784"/>
      <c r="AB73" s="784"/>
      <c r="AC73" s="784"/>
      <c r="AD73" s="193" t="s">
        <v>188</v>
      </c>
    </row>
    <row r="74" spans="1:30" ht="15" customHeight="1">
      <c r="A74" s="784"/>
      <c r="B74" s="784"/>
      <c r="C74" s="784"/>
      <c r="D74" s="473">
        <f>C46</f>
        <v>0</v>
      </c>
      <c r="E74" s="784" t="e">
        <f>DATEDIF(D73,D74,"M")</f>
        <v>#VALUE!</v>
      </c>
      <c r="F74" s="784"/>
      <c r="O74" s="784"/>
      <c r="P74" s="784"/>
      <c r="Q74" s="784"/>
      <c r="R74" s="784"/>
      <c r="S74" s="784"/>
      <c r="T74" s="784"/>
      <c r="U74" s="784"/>
      <c r="V74" s="784"/>
      <c r="W74" s="784"/>
      <c r="X74" s="784"/>
      <c r="Y74" s="784"/>
      <c r="Z74" s="784"/>
      <c r="AA74" s="784"/>
      <c r="AB74" s="784"/>
      <c r="AC74" s="784"/>
      <c r="AD74" s="193" t="s">
        <v>189</v>
      </c>
    </row>
    <row r="75" spans="1:30" ht="15" customHeight="1">
      <c r="A75" s="784"/>
      <c r="B75" s="784"/>
      <c r="C75" s="784"/>
      <c r="D75" s="784"/>
      <c r="E75" s="784"/>
      <c r="F75" s="784"/>
      <c r="O75" s="784"/>
      <c r="P75" s="784"/>
      <c r="Q75" s="784"/>
      <c r="R75" s="784"/>
      <c r="S75" s="784"/>
      <c r="T75" s="784"/>
      <c r="U75" s="784"/>
      <c r="V75" s="784"/>
      <c r="W75" s="784"/>
      <c r="X75" s="784"/>
      <c r="Y75" s="784"/>
      <c r="Z75" s="784"/>
      <c r="AA75" s="784"/>
      <c r="AB75" s="784"/>
      <c r="AC75" s="784"/>
      <c r="AD75" s="193" t="s">
        <v>190</v>
      </c>
    </row>
    <row r="76" spans="1:30" ht="15" customHeight="1">
      <c r="A76" s="784"/>
      <c r="B76" s="784"/>
      <c r="C76" s="784"/>
      <c r="D76" s="784"/>
      <c r="E76" s="784"/>
      <c r="F76" s="784"/>
      <c r="O76" s="784"/>
      <c r="P76" s="784"/>
      <c r="Q76" s="784"/>
      <c r="R76" s="784"/>
      <c r="S76" s="784"/>
      <c r="T76" s="784"/>
      <c r="U76" s="784"/>
      <c r="V76" s="784"/>
      <c r="W76" s="784"/>
      <c r="X76" s="784"/>
      <c r="Y76" s="784"/>
      <c r="Z76" s="784"/>
      <c r="AA76" s="784"/>
      <c r="AB76" s="784"/>
      <c r="AC76" s="784"/>
      <c r="AD76" s="193" t="s">
        <v>191</v>
      </c>
    </row>
    <row r="77" spans="1:30" ht="15" customHeight="1">
      <c r="A77" s="784"/>
      <c r="B77" s="784"/>
      <c r="C77" s="784"/>
      <c r="D77" s="784"/>
      <c r="E77" s="784"/>
      <c r="F77" s="784"/>
      <c r="O77" s="784"/>
      <c r="P77" s="784"/>
      <c r="Q77" s="784"/>
      <c r="R77" s="784"/>
      <c r="S77" s="784"/>
      <c r="T77" s="784"/>
      <c r="U77" s="784"/>
      <c r="V77" s="784"/>
      <c r="W77" s="784"/>
      <c r="X77" s="784"/>
      <c r="Y77" s="784"/>
      <c r="Z77" s="784"/>
      <c r="AA77" s="784"/>
      <c r="AB77" s="784"/>
      <c r="AC77" s="784"/>
      <c r="AD77" s="193" t="s">
        <v>192</v>
      </c>
    </row>
    <row r="78" spans="1:30" ht="15" customHeight="1">
      <c r="A78" s="784"/>
      <c r="B78" s="784"/>
      <c r="C78" s="784"/>
      <c r="D78" s="784"/>
      <c r="E78" s="784"/>
      <c r="F78" s="784"/>
      <c r="O78" s="784"/>
      <c r="P78" s="784"/>
      <c r="Q78" s="784"/>
      <c r="R78" s="784"/>
      <c r="S78" s="784"/>
      <c r="T78" s="784"/>
      <c r="U78" s="784"/>
      <c r="V78" s="784"/>
      <c r="W78" s="784"/>
      <c r="X78" s="784"/>
      <c r="Y78" s="784"/>
      <c r="Z78" s="784"/>
      <c r="AA78" s="784"/>
      <c r="AB78" s="784"/>
      <c r="AC78" s="784"/>
      <c r="AD78" s="193" t="s">
        <v>193</v>
      </c>
    </row>
    <row r="79" spans="1:30" ht="15" customHeight="1">
      <c r="A79" s="784"/>
      <c r="B79" s="784"/>
      <c r="C79" s="784"/>
      <c r="D79" s="784"/>
      <c r="E79" s="784"/>
      <c r="F79" s="784"/>
      <c r="O79" s="784"/>
      <c r="P79" s="784"/>
      <c r="Q79" s="784"/>
      <c r="R79" s="784"/>
      <c r="S79" s="784"/>
      <c r="T79" s="784"/>
      <c r="U79" s="784"/>
      <c r="V79" s="784"/>
      <c r="W79" s="784"/>
      <c r="X79" s="784"/>
      <c r="Y79" s="784"/>
      <c r="Z79" s="784"/>
      <c r="AA79" s="784"/>
      <c r="AB79" s="784"/>
      <c r="AC79" s="784"/>
      <c r="AD79" s="193" t="s">
        <v>194</v>
      </c>
    </row>
    <row r="80" spans="1:30" ht="15" customHeight="1">
      <c r="A80" s="784"/>
      <c r="B80" s="784"/>
      <c r="C80" s="784"/>
      <c r="D80" s="784"/>
      <c r="E80" s="784"/>
      <c r="F80" s="784"/>
      <c r="O80" s="784"/>
      <c r="P80" s="784"/>
      <c r="Q80" s="784"/>
      <c r="R80" s="784"/>
      <c r="S80" s="784"/>
      <c r="T80" s="784"/>
      <c r="U80" s="784"/>
      <c r="V80" s="784"/>
      <c r="W80" s="784"/>
      <c r="X80" s="784"/>
      <c r="Y80" s="784"/>
      <c r="Z80" s="784"/>
      <c r="AA80" s="784"/>
      <c r="AB80" s="784"/>
      <c r="AC80" s="784"/>
      <c r="AD80" s="193" t="s">
        <v>195</v>
      </c>
    </row>
    <row r="81" spans="30:30" ht="15" customHeight="1">
      <c r="AD81" s="193" t="s">
        <v>196</v>
      </c>
    </row>
    <row r="82" spans="30:30" ht="15" customHeight="1">
      <c r="AD82" s="193" t="s">
        <v>197</v>
      </c>
    </row>
    <row r="83" spans="30:30" ht="15" customHeight="1">
      <c r="AD83" s="193" t="s">
        <v>198</v>
      </c>
    </row>
    <row r="84" spans="30:30" ht="15" customHeight="1">
      <c r="AD84" s="193" t="s">
        <v>199</v>
      </c>
    </row>
    <row r="85" spans="30:30" ht="15" customHeight="1">
      <c r="AD85" s="193" t="s">
        <v>200</v>
      </c>
    </row>
    <row r="86" spans="30:30" ht="15" customHeight="1">
      <c r="AD86" s="193" t="s">
        <v>201</v>
      </c>
    </row>
    <row r="87" spans="30:30" ht="15" customHeight="1">
      <c r="AD87" s="193" t="s">
        <v>202</v>
      </c>
    </row>
    <row r="88" spans="30:30" ht="15" customHeight="1">
      <c r="AD88" s="193" t="s">
        <v>203</v>
      </c>
    </row>
    <row r="89" spans="30:30" ht="15" customHeight="1">
      <c r="AD89" s="193" t="s">
        <v>204</v>
      </c>
    </row>
    <row r="90" spans="30:30" ht="15" customHeight="1">
      <c r="AD90" s="193" t="s">
        <v>205</v>
      </c>
    </row>
    <row r="91" spans="30:30" ht="15" customHeight="1">
      <c r="AD91" s="193" t="s">
        <v>206</v>
      </c>
    </row>
    <row r="92" spans="30:30" ht="15" customHeight="1">
      <c r="AD92" s="193" t="s">
        <v>207</v>
      </c>
    </row>
    <row r="93" spans="30:30" ht="15" customHeight="1">
      <c r="AD93" s="193" t="s">
        <v>208</v>
      </c>
    </row>
    <row r="94" spans="30:30" ht="15" customHeight="1">
      <c r="AD94" s="193" t="s">
        <v>209</v>
      </c>
    </row>
    <row r="95" spans="30:30" ht="15" customHeight="1">
      <c r="AD95" s="193" t="s">
        <v>210</v>
      </c>
    </row>
    <row r="96" spans="30:30" ht="15" customHeight="1">
      <c r="AD96" s="193" t="s">
        <v>211</v>
      </c>
    </row>
    <row r="97" spans="30:30" ht="15" customHeight="1">
      <c r="AD97" s="193" t="s">
        <v>212</v>
      </c>
    </row>
    <row r="98" spans="30:30" ht="15" customHeight="1">
      <c r="AD98" s="193" t="s">
        <v>213</v>
      </c>
    </row>
    <row r="99" spans="30:30" ht="15" customHeight="1">
      <c r="AD99" s="193" t="s">
        <v>214</v>
      </c>
    </row>
    <row r="100" spans="30:30" ht="15" customHeight="1">
      <c r="AD100" s="193" t="s">
        <v>215</v>
      </c>
    </row>
    <row r="101" spans="30:30" ht="15" customHeight="1">
      <c r="AD101" s="193" t="s">
        <v>216</v>
      </c>
    </row>
    <row r="102" spans="30:30" ht="15" customHeight="1">
      <c r="AD102" s="193" t="s">
        <v>217</v>
      </c>
    </row>
    <row r="103" spans="30:30" ht="15" customHeight="1">
      <c r="AD103" s="193" t="s">
        <v>218</v>
      </c>
    </row>
    <row r="104" spans="30:30" ht="15" customHeight="1">
      <c r="AD104" s="193" t="s">
        <v>219</v>
      </c>
    </row>
    <row r="105" spans="30:30" ht="15" customHeight="1">
      <c r="AD105" s="193" t="s">
        <v>220</v>
      </c>
    </row>
    <row r="106" spans="30:30" ht="15" customHeight="1">
      <c r="AD106" s="193" t="s">
        <v>221</v>
      </c>
    </row>
    <row r="107" spans="30:30" ht="15" customHeight="1">
      <c r="AD107" s="193" t="s">
        <v>222</v>
      </c>
    </row>
    <row r="108" spans="30:30" ht="15" customHeight="1">
      <c r="AD108" s="193" t="s">
        <v>223</v>
      </c>
    </row>
    <row r="109" spans="30:30" ht="15" customHeight="1">
      <c r="AD109" s="193" t="s">
        <v>224</v>
      </c>
    </row>
    <row r="110" spans="30:30" ht="15" customHeight="1">
      <c r="AD110" s="193" t="s">
        <v>225</v>
      </c>
    </row>
    <row r="111" spans="30:30" ht="15" customHeight="1">
      <c r="AD111" s="193" t="s">
        <v>226</v>
      </c>
    </row>
    <row r="112" spans="30:30" ht="15" customHeight="1">
      <c r="AD112" s="193" t="s">
        <v>227</v>
      </c>
    </row>
    <row r="113" spans="30:30" ht="15" customHeight="1">
      <c r="AD113" s="193" t="s">
        <v>228</v>
      </c>
    </row>
    <row r="114" spans="30:30" ht="15" customHeight="1">
      <c r="AD114" s="193" t="s">
        <v>229</v>
      </c>
    </row>
    <row r="115" spans="30:30" ht="15" customHeight="1">
      <c r="AD115" s="193" t="s">
        <v>230</v>
      </c>
    </row>
    <row r="116" spans="30:30" ht="15" customHeight="1">
      <c r="AD116" s="193" t="s">
        <v>231</v>
      </c>
    </row>
    <row r="117" spans="30:30" ht="15" customHeight="1">
      <c r="AD117" s="193" t="s">
        <v>232</v>
      </c>
    </row>
    <row r="118" spans="30:30" ht="15" customHeight="1">
      <c r="AD118" s="193" t="s">
        <v>233</v>
      </c>
    </row>
    <row r="119" spans="30:30" ht="15" customHeight="1">
      <c r="AD119" s="193" t="s">
        <v>234</v>
      </c>
    </row>
    <row r="120" spans="30:30" ht="15" customHeight="1">
      <c r="AD120" s="193" t="s">
        <v>235</v>
      </c>
    </row>
    <row r="121" spans="30:30" ht="15" customHeight="1">
      <c r="AD121" s="193" t="s">
        <v>236</v>
      </c>
    </row>
    <row r="122" spans="30:30" ht="15" customHeight="1">
      <c r="AD122" s="193" t="s">
        <v>237</v>
      </c>
    </row>
    <row r="123" spans="30:30" ht="15" customHeight="1">
      <c r="AD123" s="193" t="s">
        <v>238</v>
      </c>
    </row>
    <row r="124" spans="30:30" ht="15" customHeight="1">
      <c r="AD124" s="193" t="s">
        <v>239</v>
      </c>
    </row>
    <row r="125" spans="30:30" ht="15" customHeight="1">
      <c r="AD125" s="193" t="s">
        <v>240</v>
      </c>
    </row>
    <row r="126" spans="30:30" ht="15" customHeight="1">
      <c r="AD126" s="193" t="s">
        <v>241</v>
      </c>
    </row>
    <row r="127" spans="30:30" ht="15" customHeight="1">
      <c r="AD127" s="193" t="s">
        <v>242</v>
      </c>
    </row>
    <row r="128" spans="30:30" ht="15" customHeight="1">
      <c r="AD128" s="193" t="s">
        <v>243</v>
      </c>
    </row>
    <row r="129" spans="30:30" ht="15" customHeight="1">
      <c r="AD129" s="193" t="s">
        <v>244</v>
      </c>
    </row>
    <row r="130" spans="30:30" ht="15" customHeight="1">
      <c r="AD130" s="193" t="s">
        <v>245</v>
      </c>
    </row>
    <row r="131" spans="30:30" ht="15" customHeight="1">
      <c r="AD131" s="193" t="s">
        <v>246</v>
      </c>
    </row>
    <row r="132" spans="30:30" ht="15" customHeight="1">
      <c r="AD132" s="193" t="s">
        <v>247</v>
      </c>
    </row>
    <row r="133" spans="30:30" ht="15" customHeight="1">
      <c r="AD133" s="193" t="s">
        <v>248</v>
      </c>
    </row>
    <row r="134" spans="30:30" ht="15" customHeight="1">
      <c r="AD134" s="193" t="s">
        <v>249</v>
      </c>
    </row>
    <row r="135" spans="30:30" ht="15" customHeight="1">
      <c r="AD135" s="193" t="s">
        <v>250</v>
      </c>
    </row>
    <row r="136" spans="30:30" ht="15" customHeight="1">
      <c r="AD136" s="193" t="s">
        <v>251</v>
      </c>
    </row>
    <row r="137" spans="30:30" ht="15" customHeight="1">
      <c r="AD137" s="193" t="s">
        <v>252</v>
      </c>
    </row>
    <row r="138" spans="30:30" ht="15" customHeight="1">
      <c r="AD138" s="193" t="s">
        <v>253</v>
      </c>
    </row>
    <row r="139" spans="30:30" ht="15" customHeight="1">
      <c r="AD139" s="193" t="s">
        <v>254</v>
      </c>
    </row>
    <row r="140" spans="30:30" ht="15" customHeight="1">
      <c r="AD140" s="193" t="s">
        <v>255</v>
      </c>
    </row>
    <row r="141" spans="30:30" ht="15" customHeight="1">
      <c r="AD141" s="193" t="s">
        <v>256</v>
      </c>
    </row>
    <row r="142" spans="30:30" ht="15" customHeight="1">
      <c r="AD142" s="193" t="s">
        <v>257</v>
      </c>
    </row>
    <row r="143" spans="30:30" ht="15" customHeight="1">
      <c r="AD143" s="193" t="s">
        <v>258</v>
      </c>
    </row>
    <row r="144" spans="30:30" ht="15" customHeight="1">
      <c r="AD144" s="193" t="s">
        <v>259</v>
      </c>
    </row>
    <row r="145" spans="30:30" ht="15" customHeight="1">
      <c r="AD145" s="193" t="s">
        <v>260</v>
      </c>
    </row>
    <row r="146" spans="30:30" ht="15" customHeight="1">
      <c r="AD146" s="193" t="s">
        <v>261</v>
      </c>
    </row>
    <row r="147" spans="30:30" ht="15" customHeight="1">
      <c r="AD147" s="193" t="s">
        <v>262</v>
      </c>
    </row>
    <row r="148" spans="30:30" ht="15" customHeight="1">
      <c r="AD148" s="193" t="s">
        <v>263</v>
      </c>
    </row>
    <row r="149" spans="30:30" ht="15" customHeight="1">
      <c r="AD149" s="193" t="s">
        <v>264</v>
      </c>
    </row>
    <row r="150" spans="30:30" ht="15" customHeight="1">
      <c r="AD150" s="193" t="s">
        <v>265</v>
      </c>
    </row>
    <row r="151" spans="30:30" ht="15" customHeight="1">
      <c r="AD151" s="193" t="s">
        <v>266</v>
      </c>
    </row>
    <row r="152" spans="30:30" ht="15" customHeight="1">
      <c r="AD152" s="193" t="s">
        <v>267</v>
      </c>
    </row>
    <row r="153" spans="30:30" ht="15" customHeight="1">
      <c r="AD153" s="193" t="s">
        <v>268</v>
      </c>
    </row>
    <row r="154" spans="30:30" ht="15" customHeight="1">
      <c r="AD154" s="193" t="s">
        <v>269</v>
      </c>
    </row>
    <row r="155" spans="30:30" ht="15" customHeight="1">
      <c r="AD155" s="193" t="s">
        <v>270</v>
      </c>
    </row>
    <row r="156" spans="30:30" ht="15" customHeight="1">
      <c r="AD156" s="193" t="s">
        <v>271</v>
      </c>
    </row>
    <row r="157" spans="30:30" ht="15" customHeight="1">
      <c r="AD157" s="193" t="s">
        <v>272</v>
      </c>
    </row>
    <row r="158" spans="30:30" ht="15" customHeight="1">
      <c r="AD158" s="193" t="s">
        <v>273</v>
      </c>
    </row>
    <row r="159" spans="30:30" ht="15" customHeight="1">
      <c r="AD159" s="193" t="s">
        <v>274</v>
      </c>
    </row>
    <row r="160" spans="30:30" ht="15" customHeight="1">
      <c r="AD160" s="193" t="s">
        <v>275</v>
      </c>
    </row>
    <row r="161" spans="30:30" ht="15" customHeight="1">
      <c r="AD161" s="193" t="s">
        <v>276</v>
      </c>
    </row>
    <row r="162" spans="30:30" ht="15" customHeight="1">
      <c r="AD162" s="193" t="s">
        <v>277</v>
      </c>
    </row>
    <row r="163" spans="30:30" ht="15" customHeight="1">
      <c r="AD163" s="193" t="s">
        <v>278</v>
      </c>
    </row>
    <row r="164" spans="30:30" ht="15" customHeight="1">
      <c r="AD164" s="193" t="s">
        <v>279</v>
      </c>
    </row>
    <row r="165" spans="30:30" ht="15" customHeight="1">
      <c r="AD165" s="193" t="s">
        <v>280</v>
      </c>
    </row>
    <row r="169" spans="30:30" ht="15" customHeight="1">
      <c r="AD169" s="174" t="s">
        <v>281</v>
      </c>
    </row>
    <row r="170" spans="30:30" ht="15" customHeight="1">
      <c r="AD170" s="174" t="s">
        <v>282</v>
      </c>
    </row>
    <row r="171" spans="30:30" ht="15" customHeight="1">
      <c r="AD171" s="174" t="s">
        <v>283</v>
      </c>
    </row>
    <row r="173" spans="30:30" ht="15" customHeight="1">
      <c r="AD173" s="174" t="s">
        <v>160</v>
      </c>
    </row>
    <row r="174" spans="30:30" ht="15" customHeight="1">
      <c r="AD174" s="174" t="s">
        <v>284</v>
      </c>
    </row>
  </sheetData>
  <sheetProtection algorithmName="SHA-512" hashValue="eV5UIlHmUHPAR567y/fWhzR54NL0x7wK6W1f/OvO/zXbVyvGAm5/yp1dpiRr2IOkavXWn9nKmldUzpu9dH70qQ==" saltValue="yxCAZdqEejQbHRQ52jZTLw==" spinCount="100000" sheet="1" autoFilter="0"/>
  <mergeCells count="49">
    <mergeCell ref="D58:E58"/>
    <mergeCell ref="D59:E59"/>
    <mergeCell ref="D39:E39"/>
    <mergeCell ref="D40:E40"/>
    <mergeCell ref="D41:E41"/>
    <mergeCell ref="D42:E42"/>
    <mergeCell ref="D45:E45"/>
    <mergeCell ref="D46:E46"/>
    <mergeCell ref="D47:E47"/>
    <mergeCell ref="D48:E48"/>
    <mergeCell ref="D49:E49"/>
    <mergeCell ref="D50:E50"/>
    <mergeCell ref="D51:E51"/>
    <mergeCell ref="D52:E52"/>
    <mergeCell ref="D54:E54"/>
    <mergeCell ref="D55:E55"/>
    <mergeCell ref="D57:E57"/>
    <mergeCell ref="C15:E15"/>
    <mergeCell ref="D56:E56"/>
    <mergeCell ref="C17:D17"/>
    <mergeCell ref="C18:D18"/>
    <mergeCell ref="C19:D19"/>
    <mergeCell ref="C16:E16"/>
    <mergeCell ref="D53:E53"/>
    <mergeCell ref="C21:D21"/>
    <mergeCell ref="C20:E20"/>
    <mergeCell ref="C8:E8"/>
    <mergeCell ref="A1:B1"/>
    <mergeCell ref="A3:B3"/>
    <mergeCell ref="B4:E4"/>
    <mergeCell ref="B6:E6"/>
    <mergeCell ref="C7:E7"/>
    <mergeCell ref="C14:E14"/>
    <mergeCell ref="C9:E9"/>
    <mergeCell ref="C10:D10"/>
    <mergeCell ref="C11:E11"/>
    <mergeCell ref="C12:D12"/>
    <mergeCell ref="C13:E13"/>
    <mergeCell ref="H51:I51"/>
    <mergeCell ref="H50:I50"/>
    <mergeCell ref="T43:V43"/>
    <mergeCell ref="H44:I44"/>
    <mergeCell ref="H46:I46"/>
    <mergeCell ref="H47:I47"/>
    <mergeCell ref="H48:I48"/>
    <mergeCell ref="H49:I49"/>
    <mergeCell ref="H43:M43"/>
    <mergeCell ref="O43:S43"/>
    <mergeCell ref="H45:I45"/>
  </mergeCells>
  <dataValidations disablePrompts="1" count="4">
    <dataValidation type="list" allowBlank="1" showInputMessage="1" showErrorMessage="1" sqref="C17:D19" xr:uid="{00000000-0002-0000-0200-000000000000}">
      <formula1>$AD$172:$AD$174</formula1>
    </dataValidation>
    <dataValidation type="list" allowBlank="1" showInputMessage="1" showErrorMessage="1" sqref="C12:D12" xr:uid="{00000000-0002-0000-0200-000001000000}">
      <formula1>$AD$168:$AD$171</formula1>
    </dataValidation>
    <dataValidation type="list" allowBlank="1" showInputMessage="1" showErrorMessage="1" sqref="C10:D10" xr:uid="{00000000-0002-0000-0200-000002000000}">
      <formula1>$AD$5:$AD$165</formula1>
    </dataValidation>
    <dataValidation type="list" allowBlank="1" showInputMessage="1" showErrorMessage="1" sqref="E21" xr:uid="{D0723A01-1315-4A20-B7F5-CDE835FB8B06}">
      <formula1>"Yes, No"</formula1>
    </dataValidation>
  </dataValidations>
  <hyperlinks>
    <hyperlink ref="A1" location="Index!A1" display="&lt; Return to Index" xr:uid="{00000000-0004-0000-0200-000000000000}"/>
    <hyperlink ref="B39" r:id="rId1" xr:uid="{00000000-0004-0000-0200-000001000000}"/>
  </hyperlinks>
  <printOptions horizontalCentered="1"/>
  <pageMargins left="0.25" right="0.25" top="0.75" bottom="0.75" header="0.3" footer="0.3"/>
  <pageSetup scale="78" fitToHeight="0" orientation="portrait" r:id="rId2"/>
  <drawing r:id="rId3"/>
  <legacy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theme="0" tint="-0.249977111117893"/>
  </sheetPr>
  <dimension ref="A1:C19"/>
  <sheetViews>
    <sheetView showGridLines="0" workbookViewId="0">
      <selection activeCell="D31" sqref="D31"/>
    </sheetView>
  </sheetViews>
  <sheetFormatPr defaultRowHeight="12.75"/>
  <cols>
    <col min="1" max="1" width="25.7109375" customWidth="1"/>
  </cols>
  <sheetData>
    <row r="1" spans="1:3" ht="36" customHeight="1">
      <c r="A1" s="4" t="s">
        <v>1620</v>
      </c>
      <c r="B1" s="759"/>
      <c r="C1" s="759"/>
    </row>
    <row r="2" spans="1:3">
      <c r="A2" s="193" t="s">
        <v>1621</v>
      </c>
      <c r="B2" s="353" t="s">
        <v>1622</v>
      </c>
      <c r="C2" s="759"/>
    </row>
    <row r="3" spans="1:3">
      <c r="A3" s="193" t="s">
        <v>1623</v>
      </c>
      <c r="B3" s="354" t="s">
        <v>1624</v>
      </c>
      <c r="C3" s="759"/>
    </row>
    <row r="4" spans="1:3">
      <c r="A4" s="193" t="s">
        <v>1625</v>
      </c>
      <c r="B4" s="354" t="s">
        <v>1624</v>
      </c>
      <c r="C4" s="759"/>
    </row>
    <row r="5" spans="1:3">
      <c r="A5" s="193" t="s">
        <v>1626</v>
      </c>
      <c r="B5" s="353" t="s">
        <v>1622</v>
      </c>
      <c r="C5" s="759"/>
    </row>
    <row r="6" spans="1:3">
      <c r="A6" s="193" t="s">
        <v>1627</v>
      </c>
      <c r="B6" s="353" t="s">
        <v>1622</v>
      </c>
      <c r="C6" s="759"/>
    </row>
    <row r="7" spans="1:3">
      <c r="A7" s="193" t="s">
        <v>1628</v>
      </c>
      <c r="B7" s="354" t="s">
        <v>1624</v>
      </c>
      <c r="C7" s="759"/>
    </row>
    <row r="8" spans="1:3">
      <c r="A8" s="193" t="s">
        <v>1629</v>
      </c>
      <c r="B8" s="353" t="s">
        <v>1622</v>
      </c>
      <c r="C8" s="759"/>
    </row>
    <row r="9" spans="1:3">
      <c r="A9" s="193" t="s">
        <v>1630</v>
      </c>
      <c r="B9" s="353" t="s">
        <v>1622</v>
      </c>
      <c r="C9" s="759"/>
    </row>
    <row r="10" spans="1:3">
      <c r="A10" s="193" t="s">
        <v>1631</v>
      </c>
      <c r="B10" s="353" t="s">
        <v>1622</v>
      </c>
      <c r="C10" s="193" t="s">
        <v>1632</v>
      </c>
    </row>
    <row r="11" spans="1:3">
      <c r="A11" s="193" t="s">
        <v>1633</v>
      </c>
      <c r="B11" s="353" t="s">
        <v>1622</v>
      </c>
      <c r="C11" s="193"/>
    </row>
    <row r="12" spans="1:3">
      <c r="A12" s="193" t="s">
        <v>1634</v>
      </c>
      <c r="B12" s="353" t="s">
        <v>1622</v>
      </c>
      <c r="C12" s="193"/>
    </row>
    <row r="13" spans="1:3">
      <c r="A13" s="193" t="s">
        <v>1635</v>
      </c>
      <c r="B13" s="353" t="s">
        <v>1622</v>
      </c>
      <c r="C13" s="193"/>
    </row>
    <row r="14" spans="1:3">
      <c r="A14" s="193" t="s">
        <v>1636</v>
      </c>
      <c r="B14" s="353" t="s">
        <v>1622</v>
      </c>
      <c r="C14" s="193"/>
    </row>
    <row r="15" spans="1:3">
      <c r="A15" s="193" t="s">
        <v>1637</v>
      </c>
      <c r="B15" s="353" t="s">
        <v>1622</v>
      </c>
      <c r="C15" s="193"/>
    </row>
    <row r="16" spans="1:3">
      <c r="A16" s="193" t="s">
        <v>1638</v>
      </c>
      <c r="B16" s="353" t="s">
        <v>1622</v>
      </c>
      <c r="C16" s="193"/>
    </row>
    <row r="17" spans="1:3">
      <c r="A17" s="193" t="s">
        <v>1639</v>
      </c>
      <c r="B17" s="353" t="s">
        <v>1622</v>
      </c>
      <c r="C17" s="193"/>
    </row>
    <row r="18" spans="1:3">
      <c r="A18" s="193" t="s">
        <v>1640</v>
      </c>
      <c r="B18" s="353" t="s">
        <v>1622</v>
      </c>
      <c r="C18" s="193"/>
    </row>
    <row r="19" spans="1:3">
      <c r="A19" s="193" t="s">
        <v>1641</v>
      </c>
      <c r="B19" s="355" t="s">
        <v>1642</v>
      </c>
      <c r="C19" s="759"/>
    </row>
  </sheetData>
  <sheetProtection algorithmName="SHA-512" hashValue="rFfluhJYgTkaf4SuboLlCaTyRKJi+g6zqOxg8tywmkxfHENfvsSGaDdJv6y5cyMYOnC6LfdJGYSqsBkVf1BZJw==" saltValue="SHYGjmZt/5Dg/wMTN/hSow==" spinCount="100000" sheet="1" autoFilter="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showGridLines="0" workbookViewId="0"/>
  </sheetViews>
  <sheetFormatPr defaultRowHeight="12.75"/>
  <cols>
    <col min="1" max="1" width="33" customWidth="1"/>
    <col min="2" max="2" width="31.7109375" customWidth="1"/>
  </cols>
  <sheetData>
    <row r="1" spans="1:2">
      <c r="A1" s="1" t="s">
        <v>1349</v>
      </c>
      <c r="B1" s="1" t="s">
        <v>1490</v>
      </c>
    </row>
    <row r="2" spans="1:2">
      <c r="A2" s="759" t="s">
        <v>1643</v>
      </c>
      <c r="B2" s="2" t="s">
        <v>1644</v>
      </c>
    </row>
    <row r="3" spans="1:2">
      <c r="A3" s="759" t="s">
        <v>1645</v>
      </c>
      <c r="B3" s="2" t="s">
        <v>1646</v>
      </c>
    </row>
    <row r="4" spans="1:2">
      <c r="A4" s="759" t="s">
        <v>1647</v>
      </c>
      <c r="B4" s="2" t="s">
        <v>1648</v>
      </c>
    </row>
    <row r="5" spans="1:2">
      <c r="A5" s="759" t="s">
        <v>1649</v>
      </c>
      <c r="B5" s="2" t="s">
        <v>1650</v>
      </c>
    </row>
    <row r="6" spans="1:2">
      <c r="A6" s="759" t="s">
        <v>1651</v>
      </c>
      <c r="B6" s="2" t="s">
        <v>1652</v>
      </c>
    </row>
    <row r="7" spans="1:2">
      <c r="A7" s="759" t="s">
        <v>1653</v>
      </c>
      <c r="B7" s="2" t="s">
        <v>64</v>
      </c>
    </row>
    <row r="8" spans="1:2">
      <c r="A8" s="759" t="s">
        <v>1654</v>
      </c>
      <c r="B8" s="2" t="s">
        <v>66</v>
      </c>
    </row>
    <row r="9" spans="1:2">
      <c r="A9" s="759" t="s">
        <v>1655</v>
      </c>
      <c r="B9" s="2" t="s">
        <v>1656</v>
      </c>
    </row>
    <row r="10" spans="1:2">
      <c r="A10" s="759" t="s">
        <v>1657</v>
      </c>
      <c r="B10" s="2" t="s">
        <v>70</v>
      </c>
    </row>
    <row r="11" spans="1:2">
      <c r="A11" s="759" t="s">
        <v>1658</v>
      </c>
      <c r="B11" s="2" t="s">
        <v>1659</v>
      </c>
    </row>
    <row r="12" spans="1:2">
      <c r="A12" s="759" t="s">
        <v>1660</v>
      </c>
      <c r="B12" s="2" t="s">
        <v>1661</v>
      </c>
    </row>
    <row r="13" spans="1:2">
      <c r="A13" s="759" t="s">
        <v>1662</v>
      </c>
      <c r="B13" s="2" t="s">
        <v>1663</v>
      </c>
    </row>
    <row r="14" spans="1:2">
      <c r="A14" s="759" t="s">
        <v>1664</v>
      </c>
      <c r="B14" s="2" t="s">
        <v>1665</v>
      </c>
    </row>
    <row r="15" spans="1:2">
      <c r="A15" s="759" t="s">
        <v>1666</v>
      </c>
      <c r="B15" s="2" t="s">
        <v>1667</v>
      </c>
    </row>
    <row r="16" spans="1:2">
      <c r="A16" s="759" t="s">
        <v>1668</v>
      </c>
      <c r="B16" s="2" t="s">
        <v>1669</v>
      </c>
    </row>
    <row r="17" spans="1:2">
      <c r="A17" s="759" t="s">
        <v>1670</v>
      </c>
      <c r="B17" s="2" t="s">
        <v>1671</v>
      </c>
    </row>
    <row r="18" spans="1:2">
      <c r="A18" s="759" t="s">
        <v>1672</v>
      </c>
      <c r="B18" s="2" t="s">
        <v>1673</v>
      </c>
    </row>
    <row r="19" spans="1:2">
      <c r="A19" s="759" t="s">
        <v>1674</v>
      </c>
      <c r="B19" s="2" t="s">
        <v>1675</v>
      </c>
    </row>
    <row r="20" spans="1:2">
      <c r="A20" s="759" t="s">
        <v>1676</v>
      </c>
      <c r="B20" s="2" t="s">
        <v>1677</v>
      </c>
    </row>
    <row r="21" spans="1:2">
      <c r="A21" s="759" t="s">
        <v>1678</v>
      </c>
      <c r="B21" s="2" t="s">
        <v>1679</v>
      </c>
    </row>
    <row r="22" spans="1:2">
      <c r="A22" s="759" t="s">
        <v>1680</v>
      </c>
      <c r="B22" s="2" t="s">
        <v>1681</v>
      </c>
    </row>
    <row r="23" spans="1:2">
      <c r="A23" s="759" t="s">
        <v>1682</v>
      </c>
      <c r="B23" s="2" t="s">
        <v>1683</v>
      </c>
    </row>
    <row r="24" spans="1:2">
      <c r="A24" s="759" t="s">
        <v>1684</v>
      </c>
      <c r="B24" s="2" t="s">
        <v>96</v>
      </c>
    </row>
    <row r="25" spans="1:2">
      <c r="A25" s="759" t="s">
        <v>1685</v>
      </c>
      <c r="B25" s="2" t="s">
        <v>98</v>
      </c>
    </row>
    <row r="26" spans="1:2">
      <c r="A26" s="759" t="s">
        <v>1686</v>
      </c>
      <c r="B26" s="2" t="s">
        <v>1687</v>
      </c>
    </row>
    <row r="27" spans="1:2">
      <c r="A27" s="759" t="s">
        <v>1688</v>
      </c>
      <c r="B27" s="2" t="s">
        <v>1689</v>
      </c>
    </row>
    <row r="28" spans="1:2">
      <c r="A28" s="759" t="s">
        <v>1690</v>
      </c>
      <c r="B28" s="2" t="s">
        <v>1691</v>
      </c>
    </row>
    <row r="29" spans="1:2">
      <c r="A29" s="759" t="s">
        <v>1692</v>
      </c>
      <c r="B29" s="2" t="s">
        <v>1693</v>
      </c>
    </row>
    <row r="30" spans="1:2">
      <c r="A30" s="759" t="s">
        <v>1694</v>
      </c>
      <c r="B30" s="2" t="s">
        <v>1695</v>
      </c>
    </row>
    <row r="31" spans="1:2">
      <c r="A31" s="759" t="s">
        <v>1696</v>
      </c>
      <c r="B31" s="2" t="s">
        <v>1697</v>
      </c>
    </row>
    <row r="32" spans="1:2">
      <c r="A32" s="759" t="s">
        <v>1698</v>
      </c>
      <c r="B32" s="2" t="s">
        <v>1699</v>
      </c>
    </row>
    <row r="33" spans="1:2">
      <c r="A33" s="759" t="s">
        <v>1700</v>
      </c>
      <c r="B33" s="2" t="s">
        <v>1701</v>
      </c>
    </row>
    <row r="34" spans="1:2">
      <c r="A34" s="759" t="s">
        <v>1702</v>
      </c>
      <c r="B34" s="2" t="s">
        <v>1703</v>
      </c>
    </row>
    <row r="35" spans="1:2">
      <c r="A35" s="759" t="s">
        <v>1704</v>
      </c>
      <c r="B35" s="2" t="s">
        <v>1705</v>
      </c>
    </row>
    <row r="36" spans="1:2">
      <c r="A36" s="759" t="s">
        <v>1706</v>
      </c>
      <c r="B36" s="2" t="s">
        <v>1707</v>
      </c>
    </row>
    <row r="37" spans="1:2">
      <c r="A37" s="759" t="s">
        <v>1708</v>
      </c>
      <c r="B37" s="2" t="s">
        <v>1709</v>
      </c>
    </row>
    <row r="38" spans="1:2">
      <c r="A38" s="759" t="s">
        <v>1710</v>
      </c>
      <c r="B38" s="2" t="s">
        <v>120</v>
      </c>
    </row>
    <row r="39" spans="1:2">
      <c r="A39" s="759" t="s">
        <v>1711</v>
      </c>
      <c r="B39" s="2" t="s">
        <v>1712</v>
      </c>
    </row>
    <row r="40" spans="1:2">
      <c r="A40" s="759" t="s">
        <v>1713</v>
      </c>
      <c r="B40" s="2" t="s">
        <v>1714</v>
      </c>
    </row>
    <row r="41" spans="1:2">
      <c r="A41" s="759" t="s">
        <v>1715</v>
      </c>
      <c r="B41" s="2" t="s">
        <v>129</v>
      </c>
    </row>
    <row r="42" spans="1:2">
      <c r="A42" s="759" t="s">
        <v>1716</v>
      </c>
      <c r="B42" s="2" t="s">
        <v>1717</v>
      </c>
    </row>
    <row r="43" spans="1:2">
      <c r="A43" s="759" t="s">
        <v>1718</v>
      </c>
      <c r="B43" s="2" t="s">
        <v>133</v>
      </c>
    </row>
    <row r="44" spans="1:2">
      <c r="A44" s="759" t="s">
        <v>1719</v>
      </c>
      <c r="B44" s="2" t="s">
        <v>137</v>
      </c>
    </row>
    <row r="45" spans="1:2">
      <c r="A45" s="759" t="s">
        <v>1720</v>
      </c>
      <c r="B45" s="2" t="s">
        <v>1721</v>
      </c>
    </row>
    <row r="46" spans="1:2">
      <c r="A46" s="759" t="s">
        <v>1722</v>
      </c>
      <c r="B46" s="2" t="s">
        <v>158</v>
      </c>
    </row>
    <row r="47" spans="1:2">
      <c r="A47" s="759" t="s">
        <v>1723</v>
      </c>
      <c r="B47" s="2" t="s">
        <v>162</v>
      </c>
    </row>
    <row r="48" spans="1:2">
      <c r="A48" s="759" t="s">
        <v>1724</v>
      </c>
      <c r="B48" s="2" t="s">
        <v>1725</v>
      </c>
    </row>
    <row r="49" spans="1:2">
      <c r="A49" s="759" t="s">
        <v>1726</v>
      </c>
      <c r="B49" s="2" t="s">
        <v>166</v>
      </c>
    </row>
    <row r="50" spans="1:2">
      <c r="A50" s="759" t="s">
        <v>1727</v>
      </c>
      <c r="B50" s="2" t="s">
        <v>168</v>
      </c>
    </row>
    <row r="51" spans="1:2">
      <c r="A51" s="759" t="s">
        <v>1728</v>
      </c>
      <c r="B51" s="2" t="s">
        <v>169</v>
      </c>
    </row>
    <row r="52" spans="1:2">
      <c r="A52" s="759" t="s">
        <v>1729</v>
      </c>
      <c r="B52" s="2" t="s">
        <v>1730</v>
      </c>
    </row>
    <row r="53" spans="1:2">
      <c r="A53" s="759" t="s">
        <v>1731</v>
      </c>
      <c r="B53" s="2" t="s">
        <v>1732</v>
      </c>
    </row>
    <row r="54" spans="1:2">
      <c r="A54" s="759" t="s">
        <v>1733</v>
      </c>
      <c r="B54" s="2" t="s">
        <v>1734</v>
      </c>
    </row>
    <row r="55" spans="1:2">
      <c r="A55" s="759" t="s">
        <v>1735</v>
      </c>
      <c r="B55" s="2" t="s">
        <v>1736</v>
      </c>
    </row>
    <row r="56" spans="1:2">
      <c r="A56" s="759" t="s">
        <v>1737</v>
      </c>
      <c r="B56" s="2" t="s">
        <v>1738</v>
      </c>
    </row>
    <row r="57" spans="1:2">
      <c r="A57" s="759" t="s">
        <v>1739</v>
      </c>
      <c r="B57" s="2" t="s">
        <v>1740</v>
      </c>
    </row>
    <row r="58" spans="1:2">
      <c r="A58" s="759" t="s">
        <v>1741</v>
      </c>
      <c r="B58" s="2" t="s">
        <v>175</v>
      </c>
    </row>
    <row r="59" spans="1:2">
      <c r="A59" s="759" t="s">
        <v>1742</v>
      </c>
      <c r="B59" s="2" t="s">
        <v>1743</v>
      </c>
    </row>
    <row r="60" spans="1:2">
      <c r="A60" s="759" t="s">
        <v>1744</v>
      </c>
      <c r="B60" s="2" t="s">
        <v>1745</v>
      </c>
    </row>
    <row r="61" spans="1:2">
      <c r="A61" s="759" t="s">
        <v>1746</v>
      </c>
      <c r="B61" s="2" t="s">
        <v>1747</v>
      </c>
    </row>
    <row r="62" spans="1:2">
      <c r="A62" s="759" t="s">
        <v>1748</v>
      </c>
      <c r="B62" s="2" t="s">
        <v>167</v>
      </c>
    </row>
    <row r="63" spans="1:2">
      <c r="A63" s="759" t="s">
        <v>1749</v>
      </c>
      <c r="B63" s="2" t="s">
        <v>1750</v>
      </c>
    </row>
    <row r="64" spans="1:2">
      <c r="A64" s="759" t="s">
        <v>1751</v>
      </c>
      <c r="B64" s="2" t="s">
        <v>1752</v>
      </c>
    </row>
    <row r="65" spans="1:2">
      <c r="A65" s="759" t="s">
        <v>1753</v>
      </c>
      <c r="B65" s="2" t="s">
        <v>178</v>
      </c>
    </row>
    <row r="66" spans="1:2">
      <c r="A66" s="759" t="s">
        <v>1754</v>
      </c>
      <c r="B66" s="2" t="s">
        <v>180</v>
      </c>
    </row>
    <row r="67" spans="1:2">
      <c r="A67" s="759" t="s">
        <v>1755</v>
      </c>
      <c r="B67" s="2" t="s">
        <v>182</v>
      </c>
    </row>
    <row r="68" spans="1:2">
      <c r="A68" s="759" t="s">
        <v>1756</v>
      </c>
      <c r="B68" s="2" t="s">
        <v>1757</v>
      </c>
    </row>
    <row r="69" spans="1:2">
      <c r="A69" s="759" t="s">
        <v>1758</v>
      </c>
      <c r="B69" s="2" t="s">
        <v>184</v>
      </c>
    </row>
    <row r="70" spans="1:2">
      <c r="A70" s="759" t="s">
        <v>1759</v>
      </c>
      <c r="B70" s="2" t="s">
        <v>1760</v>
      </c>
    </row>
    <row r="71" spans="1:2">
      <c r="A71" s="759" t="s">
        <v>1761</v>
      </c>
      <c r="B71" s="2" t="s">
        <v>1762</v>
      </c>
    </row>
    <row r="72" spans="1:2">
      <c r="A72" s="759" t="s">
        <v>1763</v>
      </c>
      <c r="B72" s="2" t="s">
        <v>189</v>
      </c>
    </row>
    <row r="73" spans="1:2">
      <c r="A73" s="759" t="s">
        <v>1764</v>
      </c>
      <c r="B73" s="2" t="s">
        <v>1765</v>
      </c>
    </row>
    <row r="74" spans="1:2">
      <c r="A74" s="759" t="s">
        <v>1766</v>
      </c>
      <c r="B74" s="2" t="s">
        <v>191</v>
      </c>
    </row>
    <row r="75" spans="1:2">
      <c r="A75" s="759" t="s">
        <v>1767</v>
      </c>
      <c r="B75" s="2" t="s">
        <v>1768</v>
      </c>
    </row>
    <row r="76" spans="1:2">
      <c r="A76" s="759" t="s">
        <v>1769</v>
      </c>
      <c r="B76" s="2" t="s">
        <v>1770</v>
      </c>
    </row>
    <row r="77" spans="1:2">
      <c r="A77" s="759" t="s">
        <v>1771</v>
      </c>
      <c r="B77" s="2" t="s">
        <v>1772</v>
      </c>
    </row>
    <row r="78" spans="1:2">
      <c r="A78" s="759" t="s">
        <v>1773</v>
      </c>
      <c r="B78" s="2" t="s">
        <v>1774</v>
      </c>
    </row>
    <row r="79" spans="1:2">
      <c r="A79" s="759" t="s">
        <v>1775</v>
      </c>
      <c r="B79" s="2" t="s">
        <v>196</v>
      </c>
    </row>
    <row r="80" spans="1:2">
      <c r="A80" s="759" t="s">
        <v>1776</v>
      </c>
      <c r="B80" s="2" t="s">
        <v>1777</v>
      </c>
    </row>
    <row r="81" spans="1:2">
      <c r="A81" s="759" t="s">
        <v>1778</v>
      </c>
      <c r="B81" s="2" t="s">
        <v>1779</v>
      </c>
    </row>
    <row r="82" spans="1:2">
      <c r="A82" s="759" t="s">
        <v>1780</v>
      </c>
      <c r="B82" s="2" t="s">
        <v>1781</v>
      </c>
    </row>
    <row r="83" spans="1:2">
      <c r="A83" s="759" t="s">
        <v>1782</v>
      </c>
      <c r="B83" s="2" t="s">
        <v>1783</v>
      </c>
    </row>
    <row r="84" spans="1:2">
      <c r="A84" s="759" t="s">
        <v>1784</v>
      </c>
      <c r="B84" s="2" t="s">
        <v>1785</v>
      </c>
    </row>
    <row r="85" spans="1:2">
      <c r="A85" s="759" t="s">
        <v>1786</v>
      </c>
      <c r="B85" s="2" t="s">
        <v>1787</v>
      </c>
    </row>
    <row r="86" spans="1:2">
      <c r="A86" s="759" t="s">
        <v>1788</v>
      </c>
      <c r="B86" s="2" t="s">
        <v>1789</v>
      </c>
    </row>
    <row r="87" spans="1:2">
      <c r="A87" s="759" t="s">
        <v>1790</v>
      </c>
      <c r="B87" s="2" t="s">
        <v>1791</v>
      </c>
    </row>
    <row r="88" spans="1:2">
      <c r="A88" s="759" t="s">
        <v>1792</v>
      </c>
      <c r="B88" s="2" t="s">
        <v>1793</v>
      </c>
    </row>
    <row r="89" spans="1:2">
      <c r="A89" s="759" t="s">
        <v>1794</v>
      </c>
      <c r="B89" s="2" t="s">
        <v>1795</v>
      </c>
    </row>
    <row r="90" spans="1:2">
      <c r="A90" s="759" t="s">
        <v>1796</v>
      </c>
      <c r="B90" s="2" t="s">
        <v>1797</v>
      </c>
    </row>
    <row r="91" spans="1:2">
      <c r="A91" s="759" t="s">
        <v>1798</v>
      </c>
      <c r="B91" s="2" t="s">
        <v>1799</v>
      </c>
    </row>
    <row r="92" spans="1:2">
      <c r="A92" s="759" t="s">
        <v>1800</v>
      </c>
      <c r="B92" s="2" t="s">
        <v>1801</v>
      </c>
    </row>
    <row r="93" spans="1:2">
      <c r="A93" s="759" t="s">
        <v>1802</v>
      </c>
      <c r="B93" s="2" t="s">
        <v>1803</v>
      </c>
    </row>
    <row r="94" spans="1:2">
      <c r="A94" s="759" t="s">
        <v>1804</v>
      </c>
      <c r="B94" s="2" t="s">
        <v>1805</v>
      </c>
    </row>
    <row r="95" spans="1:2">
      <c r="A95" s="759" t="s">
        <v>1806</v>
      </c>
      <c r="B95" s="2" t="s">
        <v>1807</v>
      </c>
    </row>
    <row r="96" spans="1:2">
      <c r="A96" s="759" t="s">
        <v>1808</v>
      </c>
      <c r="B96" s="2" t="s">
        <v>1809</v>
      </c>
    </row>
    <row r="97" spans="1:2">
      <c r="A97" s="759" t="s">
        <v>1810</v>
      </c>
      <c r="B97" s="2" t="s">
        <v>1811</v>
      </c>
    </row>
    <row r="98" spans="1:2">
      <c r="A98" s="759" t="s">
        <v>1812</v>
      </c>
      <c r="B98" s="2" t="s">
        <v>1813</v>
      </c>
    </row>
    <row r="99" spans="1:2">
      <c r="A99" s="759" t="s">
        <v>1814</v>
      </c>
      <c r="B99" s="2" t="s">
        <v>1815</v>
      </c>
    </row>
    <row r="100" spans="1:2">
      <c r="A100" s="759" t="s">
        <v>1816</v>
      </c>
      <c r="B100" s="2" t="s">
        <v>1817</v>
      </c>
    </row>
    <row r="101" spans="1:2">
      <c r="A101" s="759" t="s">
        <v>1818</v>
      </c>
      <c r="B101" s="2" t="s">
        <v>1819</v>
      </c>
    </row>
    <row r="102" spans="1:2">
      <c r="A102" s="759" t="s">
        <v>1820</v>
      </c>
      <c r="B102" s="2" t="s">
        <v>1821</v>
      </c>
    </row>
    <row r="103" spans="1:2">
      <c r="A103" s="759" t="s">
        <v>1822</v>
      </c>
      <c r="B103" s="2" t="s">
        <v>1823</v>
      </c>
    </row>
    <row r="104" spans="1:2">
      <c r="A104" s="759" t="s">
        <v>1824</v>
      </c>
      <c r="B104" s="2" t="s">
        <v>1825</v>
      </c>
    </row>
    <row r="105" spans="1:2">
      <c r="A105" s="759" t="s">
        <v>1826</v>
      </c>
      <c r="B105" s="2" t="s">
        <v>1827</v>
      </c>
    </row>
    <row r="106" spans="1:2">
      <c r="A106" s="759" t="s">
        <v>1828</v>
      </c>
      <c r="B106" s="2" t="s">
        <v>1829</v>
      </c>
    </row>
    <row r="107" spans="1:2">
      <c r="A107" s="759" t="s">
        <v>1830</v>
      </c>
      <c r="B107" s="2" t="s">
        <v>1831</v>
      </c>
    </row>
    <row r="108" spans="1:2">
      <c r="A108" s="759" t="s">
        <v>1832</v>
      </c>
      <c r="B108" s="2" t="s">
        <v>1833</v>
      </c>
    </row>
    <row r="109" spans="1:2">
      <c r="A109" s="759" t="s">
        <v>1834</v>
      </c>
      <c r="B109" s="2" t="s">
        <v>1835</v>
      </c>
    </row>
    <row r="110" spans="1:2">
      <c r="A110" s="759" t="s">
        <v>1836</v>
      </c>
      <c r="B110" s="2" t="s">
        <v>1837</v>
      </c>
    </row>
    <row r="111" spans="1:2">
      <c r="A111" s="759" t="s">
        <v>1838</v>
      </c>
      <c r="B111" s="2" t="s">
        <v>1839</v>
      </c>
    </row>
    <row r="112" spans="1:2">
      <c r="A112" s="759" t="s">
        <v>1840</v>
      </c>
      <c r="B112" s="2" t="s">
        <v>1841</v>
      </c>
    </row>
    <row r="113" spans="1:2">
      <c r="A113" s="759" t="s">
        <v>1842</v>
      </c>
      <c r="B113" s="2" t="s">
        <v>1843</v>
      </c>
    </row>
    <row r="114" spans="1:2">
      <c r="A114" s="759" t="s">
        <v>1844</v>
      </c>
      <c r="B114" s="2" t="s">
        <v>1845</v>
      </c>
    </row>
    <row r="115" spans="1:2">
      <c r="A115" s="759" t="s">
        <v>1846</v>
      </c>
      <c r="B115" s="2" t="s">
        <v>1847</v>
      </c>
    </row>
    <row r="116" spans="1:2">
      <c r="A116" s="759" t="s">
        <v>1848</v>
      </c>
      <c r="B116" s="2" t="s">
        <v>1849</v>
      </c>
    </row>
    <row r="117" spans="1:2">
      <c r="A117" s="759" t="s">
        <v>1850</v>
      </c>
      <c r="B117" s="2" t="s">
        <v>1851</v>
      </c>
    </row>
    <row r="118" spans="1:2">
      <c r="A118" s="759" t="s">
        <v>1852</v>
      </c>
      <c r="B118" s="2" t="s">
        <v>1853</v>
      </c>
    </row>
    <row r="119" spans="1:2">
      <c r="A119" s="759" t="s">
        <v>1854</v>
      </c>
      <c r="B119" s="2" t="s">
        <v>1855</v>
      </c>
    </row>
    <row r="120" spans="1:2">
      <c r="A120" s="759" t="s">
        <v>1856</v>
      </c>
      <c r="B120" s="2" t="s">
        <v>1857</v>
      </c>
    </row>
    <row r="121" spans="1:2">
      <c r="A121" s="759" t="s">
        <v>1858</v>
      </c>
      <c r="B121" s="2" t="s">
        <v>1859</v>
      </c>
    </row>
    <row r="122" spans="1:2">
      <c r="A122" s="759" t="s">
        <v>1860</v>
      </c>
      <c r="B122" s="2" t="s">
        <v>1861</v>
      </c>
    </row>
    <row r="123" spans="1:2">
      <c r="A123" s="759" t="s">
        <v>1862</v>
      </c>
      <c r="B123" s="2" t="s">
        <v>1863</v>
      </c>
    </row>
    <row r="124" spans="1:2">
      <c r="A124" s="759" t="s">
        <v>1864</v>
      </c>
      <c r="B124" s="2" t="s">
        <v>1865</v>
      </c>
    </row>
    <row r="125" spans="1:2">
      <c r="A125" s="759" t="s">
        <v>1866</v>
      </c>
      <c r="B125" s="2" t="s">
        <v>1867</v>
      </c>
    </row>
    <row r="126" spans="1:2">
      <c r="A126" s="759" t="s">
        <v>1868</v>
      </c>
      <c r="B126" s="2" t="s">
        <v>1869</v>
      </c>
    </row>
    <row r="127" spans="1:2">
      <c r="A127" s="759" t="s">
        <v>1870</v>
      </c>
      <c r="B127" s="2" t="s">
        <v>1871</v>
      </c>
    </row>
    <row r="128" spans="1:2">
      <c r="A128" s="759" t="s">
        <v>1872</v>
      </c>
      <c r="B128" s="2" t="s">
        <v>1873</v>
      </c>
    </row>
    <row r="129" spans="1:2">
      <c r="A129" s="759" t="s">
        <v>1874</v>
      </c>
      <c r="B129" s="2" t="s">
        <v>1875</v>
      </c>
    </row>
    <row r="130" spans="1:2">
      <c r="A130" s="759" t="s">
        <v>1876</v>
      </c>
      <c r="B130" s="2" t="s">
        <v>1877</v>
      </c>
    </row>
    <row r="131" spans="1:2">
      <c r="A131" s="759" t="s">
        <v>1878</v>
      </c>
      <c r="B131" s="2" t="s">
        <v>1879</v>
      </c>
    </row>
    <row r="132" spans="1:2">
      <c r="A132" s="759" t="s">
        <v>1880</v>
      </c>
      <c r="B132" s="2" t="s">
        <v>1881</v>
      </c>
    </row>
    <row r="133" spans="1:2">
      <c r="A133" s="759" t="s">
        <v>1882</v>
      </c>
      <c r="B133" s="2" t="s">
        <v>1883</v>
      </c>
    </row>
    <row r="134" spans="1:2">
      <c r="A134" s="759" t="s">
        <v>1884</v>
      </c>
      <c r="B134" s="2" t="s">
        <v>1885</v>
      </c>
    </row>
    <row r="135" spans="1:2">
      <c r="A135" s="759" t="s">
        <v>1886</v>
      </c>
      <c r="B135" s="2" t="s">
        <v>241</v>
      </c>
    </row>
    <row r="136" spans="1:2">
      <c r="A136" s="759" t="s">
        <v>1887</v>
      </c>
      <c r="B136" s="2" t="s">
        <v>242</v>
      </c>
    </row>
    <row r="137" spans="1:2">
      <c r="A137" s="759" t="s">
        <v>1888</v>
      </c>
      <c r="B137" s="2" t="s">
        <v>1889</v>
      </c>
    </row>
    <row r="138" spans="1:2">
      <c r="A138" s="759" t="s">
        <v>1890</v>
      </c>
      <c r="B138" s="2" t="s">
        <v>1891</v>
      </c>
    </row>
    <row r="139" spans="1:2">
      <c r="A139" s="759"/>
      <c r="B139" s="2" t="s">
        <v>1892</v>
      </c>
    </row>
    <row r="140" spans="1:2">
      <c r="A140" s="759"/>
      <c r="B140" s="2" t="s">
        <v>1893</v>
      </c>
    </row>
    <row r="141" spans="1:2">
      <c r="A141" s="759"/>
      <c r="B141" s="2" t="s">
        <v>1894</v>
      </c>
    </row>
    <row r="142" spans="1:2">
      <c r="A142" s="759"/>
      <c r="B142" s="2" t="s">
        <v>251</v>
      </c>
    </row>
    <row r="143" spans="1:2">
      <c r="A143" s="759"/>
      <c r="B143" s="2" t="s">
        <v>1895</v>
      </c>
    </row>
    <row r="144" spans="1:2">
      <c r="A144" s="759"/>
      <c r="B144" s="2" t="s">
        <v>1896</v>
      </c>
    </row>
    <row r="145" spans="2:2">
      <c r="B145" s="2" t="s">
        <v>1897</v>
      </c>
    </row>
    <row r="146" spans="2:2">
      <c r="B146" s="2" t="s">
        <v>1898</v>
      </c>
    </row>
    <row r="147" spans="2:2">
      <c r="B147" s="2" t="s">
        <v>255</v>
      </c>
    </row>
    <row r="148" spans="2:2">
      <c r="B148" s="2" t="s">
        <v>1899</v>
      </c>
    </row>
    <row r="149" spans="2:2">
      <c r="B149" s="2" t="s">
        <v>1900</v>
      </c>
    </row>
    <row r="150" spans="2:2">
      <c r="B150" s="2" t="s">
        <v>1901</v>
      </c>
    </row>
    <row r="151" spans="2:2">
      <c r="B151" s="2" t="s">
        <v>1902</v>
      </c>
    </row>
    <row r="152" spans="2:2">
      <c r="B152" s="2" t="s">
        <v>1903</v>
      </c>
    </row>
    <row r="153" spans="2:2">
      <c r="B153" s="2" t="s">
        <v>1904</v>
      </c>
    </row>
    <row r="154" spans="2:2">
      <c r="B154" s="2" t="s">
        <v>1905</v>
      </c>
    </row>
    <row r="155" spans="2:2">
      <c r="B155" s="2" t="s">
        <v>1906</v>
      </c>
    </row>
    <row r="156" spans="2:2">
      <c r="B156" s="2" t="s">
        <v>1907</v>
      </c>
    </row>
    <row r="157" spans="2:2">
      <c r="B157" s="2" t="s">
        <v>1908</v>
      </c>
    </row>
    <row r="158" spans="2:2">
      <c r="B158" s="2" t="s">
        <v>1909</v>
      </c>
    </row>
    <row r="159" spans="2:2">
      <c r="B159" s="2" t="s">
        <v>1910</v>
      </c>
    </row>
    <row r="160" spans="2:2">
      <c r="B160" s="2" t="s">
        <v>1911</v>
      </c>
    </row>
    <row r="161" spans="2:2">
      <c r="B161" s="2" t="s">
        <v>1912</v>
      </c>
    </row>
    <row r="162" spans="2:2">
      <c r="B162" s="2" t="s">
        <v>1913</v>
      </c>
    </row>
    <row r="163" spans="2:2">
      <c r="B163" s="2" t="s">
        <v>1914</v>
      </c>
    </row>
    <row r="164" spans="2:2">
      <c r="B164" s="2" t="s">
        <v>1915</v>
      </c>
    </row>
    <row r="165" spans="2:2">
      <c r="B165" s="2" t="s">
        <v>1916</v>
      </c>
    </row>
    <row r="166" spans="2:2">
      <c r="B166" s="2" t="s">
        <v>1917</v>
      </c>
    </row>
    <row r="167" spans="2:2">
      <c r="B167" s="2" t="s">
        <v>1918</v>
      </c>
    </row>
    <row r="168" spans="2:2">
      <c r="B168" s="2" t="s">
        <v>1919</v>
      </c>
    </row>
    <row r="169" spans="2:2">
      <c r="B169" s="2" t="s">
        <v>1920</v>
      </c>
    </row>
    <row r="170" spans="2:2">
      <c r="B170" s="2" t="s">
        <v>1921</v>
      </c>
    </row>
    <row r="171" spans="2:2">
      <c r="B171" s="2" t="s">
        <v>261</v>
      </c>
    </row>
    <row r="172" spans="2:2">
      <c r="B172" s="2" t="s">
        <v>262</v>
      </c>
    </row>
    <row r="173" spans="2:2">
      <c r="B173" s="2" t="s">
        <v>1922</v>
      </c>
    </row>
    <row r="174" spans="2:2">
      <c r="B174" s="2" t="s">
        <v>1923</v>
      </c>
    </row>
    <row r="175" spans="2:2">
      <c r="B175" s="2" t="s">
        <v>1924</v>
      </c>
    </row>
    <row r="176" spans="2:2">
      <c r="B176" s="2" t="s">
        <v>1925</v>
      </c>
    </row>
    <row r="177" spans="2:2">
      <c r="B177" s="2" t="s">
        <v>1926</v>
      </c>
    </row>
    <row r="178" spans="2:2">
      <c r="B178" s="2" t="s">
        <v>1927</v>
      </c>
    </row>
    <row r="179" spans="2:2">
      <c r="B179" s="2" t="s">
        <v>1928</v>
      </c>
    </row>
    <row r="180" spans="2:2">
      <c r="B180" s="2" t="s">
        <v>1929</v>
      </c>
    </row>
    <row r="181" spans="2:2">
      <c r="B181" s="2" t="s">
        <v>1930</v>
      </c>
    </row>
    <row r="182" spans="2:2">
      <c r="B182" s="2" t="s">
        <v>1931</v>
      </c>
    </row>
    <row r="183" spans="2:2">
      <c r="B183" s="2" t="s">
        <v>1932</v>
      </c>
    </row>
    <row r="184" spans="2:2">
      <c r="B184" s="2" t="s">
        <v>1933</v>
      </c>
    </row>
    <row r="185" spans="2:2">
      <c r="B185" s="2" t="s">
        <v>1934</v>
      </c>
    </row>
    <row r="186" spans="2:2">
      <c r="B186" s="2" t="s">
        <v>1935</v>
      </c>
    </row>
    <row r="187" spans="2:2">
      <c r="B187" s="2" t="s">
        <v>1936</v>
      </c>
    </row>
  </sheetData>
  <sheetProtection autoFilter="0"/>
  <phoneticPr fontId="1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C17"/>
  <sheetViews>
    <sheetView showGridLines="0" workbookViewId="0">
      <selection sqref="A1:C1"/>
    </sheetView>
  </sheetViews>
  <sheetFormatPr defaultColWidth="9.140625" defaultRowHeight="12.75"/>
  <cols>
    <col min="1" max="1" width="4.7109375" style="93" customWidth="1"/>
    <col min="2" max="2" width="10" style="93" customWidth="1"/>
    <col min="3" max="3" width="111.7109375" style="93" customWidth="1"/>
    <col min="4" max="4" width="4.7109375" style="93" customWidth="1"/>
    <col min="5" max="16384" width="9.140625" style="93"/>
  </cols>
  <sheetData>
    <row r="1" spans="1:3" ht="21.95" customHeight="1">
      <c r="A1" s="873" t="s">
        <v>48</v>
      </c>
      <c r="B1" s="874"/>
      <c r="C1" s="874"/>
    </row>
    <row r="2" spans="1:3" s="92" customFormat="1" ht="29.25" customHeight="1">
      <c r="A2" s="427" t="s">
        <v>49</v>
      </c>
      <c r="B2" s="143"/>
      <c r="C2" s="114" t="s">
        <v>50</v>
      </c>
    </row>
    <row r="3" spans="1:3" s="92" customFormat="1" ht="15" customHeight="1">
      <c r="A3" s="870"/>
      <c r="B3" s="871"/>
      <c r="C3" s="872"/>
    </row>
    <row r="4" spans="1:3" ht="14.25" thickBot="1">
      <c r="B4" s="875" t="s">
        <v>285</v>
      </c>
      <c r="C4" s="876"/>
    </row>
    <row r="5" spans="1:3" ht="24" customHeight="1" thickTop="1">
      <c r="B5" s="767" t="s">
        <v>286</v>
      </c>
    </row>
    <row r="6" spans="1:3" ht="87.95" customHeight="1">
      <c r="C6" s="869"/>
    </row>
    <row r="7" spans="1:3" ht="87.95" customHeight="1">
      <c r="C7" s="869"/>
    </row>
    <row r="9" spans="1:3" ht="24" customHeight="1">
      <c r="B9" s="109" t="s">
        <v>287</v>
      </c>
    </row>
    <row r="10" spans="1:3" ht="87.75" customHeight="1">
      <c r="C10" s="869"/>
    </row>
    <row r="11" spans="1:3" ht="87.95" customHeight="1">
      <c r="C11" s="869"/>
    </row>
    <row r="13" spans="1:3" ht="24" customHeight="1">
      <c r="B13" s="109" t="s">
        <v>288</v>
      </c>
    </row>
    <row r="14" spans="1:3" ht="87.95" customHeight="1">
      <c r="C14" s="766"/>
    </row>
    <row r="16" spans="1:3" ht="24" customHeight="1">
      <c r="B16" s="109" t="s">
        <v>289</v>
      </c>
    </row>
    <row r="17" spans="3:3" ht="87.95" customHeight="1">
      <c r="C17" s="139"/>
    </row>
  </sheetData>
  <sheetProtection autoFilter="0"/>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workbookViewId="0">
      <selection activeCell="L23" sqref="L23"/>
    </sheetView>
  </sheetViews>
  <sheetFormatPr defaultColWidth="9.140625" defaultRowHeight="12.75"/>
  <cols>
    <col min="1" max="1" width="4.7109375" style="5" customWidth="1"/>
    <col min="2" max="2" width="3" style="5" customWidth="1"/>
    <col min="3" max="3" width="9.140625" style="5"/>
    <col min="4" max="4" width="39.85546875" style="5" customWidth="1"/>
    <col min="5" max="6" width="15.7109375" style="5" customWidth="1"/>
    <col min="7" max="7" width="3.28515625" style="117" bestFit="1" customWidth="1"/>
    <col min="8" max="17" width="15.7109375" style="5" customWidth="1"/>
    <col min="18" max="18" width="4.7109375" style="5" customWidth="1"/>
    <col min="19" max="19" width="10.5703125" style="147" customWidth="1"/>
    <col min="20" max="20" width="60.7109375" style="92" customWidth="1"/>
    <col min="21" max="27" width="12.7109375" style="5" customWidth="1"/>
    <col min="28" max="37" width="0" style="5" hidden="1" customWidth="1"/>
    <col min="38" max="16384" width="9.140625" style="5"/>
  </cols>
  <sheetData>
    <row r="1" spans="1:20" s="94" customFormat="1" ht="16.149999999999999" customHeight="1">
      <c r="A1" s="862" t="s">
        <v>48</v>
      </c>
      <c r="B1" s="863"/>
      <c r="C1" s="863"/>
      <c r="D1" s="863"/>
      <c r="E1" s="767"/>
      <c r="F1" s="767"/>
      <c r="G1" s="128"/>
      <c r="H1" s="767"/>
      <c r="I1" s="767"/>
      <c r="J1" s="767"/>
      <c r="K1" s="767"/>
      <c r="L1" s="767"/>
      <c r="M1" s="767"/>
      <c r="N1" s="767"/>
      <c r="O1" s="767"/>
      <c r="P1" s="767"/>
      <c r="Q1" s="767"/>
      <c r="R1" s="235"/>
      <c r="S1" s="141"/>
      <c r="T1" s="92"/>
    </row>
    <row r="2" spans="1:20" s="39" customFormat="1" ht="16.149999999999999" customHeight="1">
      <c r="A2" s="888"/>
      <c r="B2" s="865"/>
      <c r="C2" s="865"/>
      <c r="D2" s="64"/>
      <c r="E2" s="64"/>
      <c r="F2" s="64"/>
      <c r="G2" s="40"/>
      <c r="S2" s="142"/>
      <c r="T2" s="143"/>
    </row>
    <row r="3" spans="1:20" s="39" customFormat="1" ht="16.149999999999999" customHeight="1">
      <c r="A3" s="889"/>
      <c r="B3" s="865"/>
      <c r="C3" s="865"/>
      <c r="D3" s="144"/>
      <c r="G3" s="117"/>
      <c r="S3" s="142"/>
      <c r="T3" s="143"/>
    </row>
    <row r="4" spans="1:20" ht="35.450000000000003" customHeight="1">
      <c r="A4" s="145"/>
      <c r="B4" s="146"/>
      <c r="C4" s="895"/>
      <c r="D4" s="873"/>
      <c r="E4" s="763"/>
      <c r="F4" s="763"/>
      <c r="H4" s="769" t="s">
        <v>290</v>
      </c>
      <c r="I4" s="776" t="s">
        <v>291</v>
      </c>
      <c r="J4" s="776" t="s">
        <v>292</v>
      </c>
      <c r="K4" s="776" t="s">
        <v>293</v>
      </c>
      <c r="L4" s="776" t="s">
        <v>294</v>
      </c>
      <c r="M4" s="776" t="s">
        <v>295</v>
      </c>
      <c r="N4" s="776" t="s">
        <v>296</v>
      </c>
      <c r="O4" s="776" t="s">
        <v>297</v>
      </c>
      <c r="P4" s="776" t="s">
        <v>298</v>
      </c>
      <c r="Q4" s="776" t="s">
        <v>299</v>
      </c>
      <c r="R4" s="763"/>
    </row>
    <row r="5" spans="1:20" ht="33" customHeight="1">
      <c r="A5" s="763"/>
      <c r="B5" s="891"/>
      <c r="C5" s="891"/>
      <c r="D5" s="891"/>
      <c r="E5" s="180"/>
      <c r="F5" s="180" t="s">
        <v>300</v>
      </c>
      <c r="H5" s="181"/>
      <c r="I5" s="181"/>
      <c r="J5" s="181"/>
      <c r="K5" s="181"/>
      <c r="L5" s="181"/>
      <c r="M5" s="181"/>
      <c r="N5" s="181"/>
      <c r="O5" s="181"/>
      <c r="P5" s="181"/>
      <c r="Q5" s="181"/>
      <c r="R5" s="763"/>
      <c r="S5" s="902" t="s">
        <v>301</v>
      </c>
    </row>
    <row r="6" spans="1:20" ht="43.9" customHeight="1">
      <c r="A6" s="763"/>
      <c r="B6" s="892" t="s">
        <v>302</v>
      </c>
      <c r="C6" s="892"/>
      <c r="D6" s="892"/>
      <c r="E6" s="241" t="s">
        <v>303</v>
      </c>
      <c r="F6" s="148" t="s">
        <v>304</v>
      </c>
      <c r="H6" s="149" t="s">
        <v>111</v>
      </c>
      <c r="I6" s="149" t="s">
        <v>111</v>
      </c>
      <c r="J6" s="149" t="s">
        <v>111</v>
      </c>
      <c r="K6" s="149" t="s">
        <v>111</v>
      </c>
      <c r="L6" s="149" t="s">
        <v>111</v>
      </c>
      <c r="M6" s="149" t="s">
        <v>111</v>
      </c>
      <c r="N6" s="149" t="s">
        <v>111</v>
      </c>
      <c r="O6" s="149" t="s">
        <v>111</v>
      </c>
      <c r="P6" s="149" t="s">
        <v>111</v>
      </c>
      <c r="Q6" s="149" t="s">
        <v>111</v>
      </c>
      <c r="R6" s="763"/>
      <c r="S6" s="903"/>
      <c r="T6" s="150" t="s">
        <v>91</v>
      </c>
    </row>
    <row r="7" spans="1:20" ht="16.149999999999999" customHeight="1" thickBot="1">
      <c r="A7" s="890" t="s">
        <v>305</v>
      </c>
      <c r="B7" s="863"/>
      <c r="C7" s="863"/>
      <c r="D7" s="863"/>
      <c r="E7" s="242"/>
      <c r="F7" s="151"/>
      <c r="H7" s="777"/>
      <c r="I7" s="777"/>
      <c r="J7" s="777"/>
      <c r="K7" s="777"/>
      <c r="L7" s="777"/>
      <c r="M7" s="777"/>
      <c r="N7" s="777"/>
      <c r="O7" s="777"/>
      <c r="P7" s="777"/>
      <c r="Q7" s="777"/>
      <c r="R7" s="763"/>
    </row>
    <row r="8" spans="1:20" ht="16.149999999999999" customHeight="1" thickBot="1">
      <c r="A8" s="763"/>
      <c r="B8" s="882" t="s">
        <v>306</v>
      </c>
      <c r="C8" s="883"/>
      <c r="D8" s="884"/>
      <c r="E8" s="243">
        <f>F8</f>
        <v>0</v>
      </c>
      <c r="F8" s="156">
        <f>SUM(H8:Q8)</f>
        <v>0</v>
      </c>
      <c r="H8" s="152"/>
      <c r="I8" s="152"/>
      <c r="J8" s="152"/>
      <c r="K8" s="152"/>
      <c r="L8" s="152"/>
      <c r="M8" s="152"/>
      <c r="N8" s="152"/>
      <c r="O8" s="152"/>
      <c r="P8" s="152"/>
      <c r="Q8" s="152"/>
      <c r="R8" s="763"/>
      <c r="T8" s="153"/>
    </row>
    <row r="9" spans="1:20" ht="16.149999999999999" customHeight="1">
      <c r="A9" s="763"/>
      <c r="B9" s="886"/>
      <c r="C9" s="887"/>
      <c r="D9" s="887"/>
      <c r="E9" s="242"/>
      <c r="F9" s="151"/>
      <c r="H9" s="151"/>
      <c r="I9" s="151"/>
      <c r="J9" s="151"/>
      <c r="K9" s="151"/>
      <c r="L9" s="151"/>
      <c r="M9" s="151"/>
      <c r="N9" s="151"/>
      <c r="O9" s="151"/>
      <c r="P9" s="151"/>
      <c r="Q9" s="151"/>
      <c r="R9" s="763"/>
    </row>
    <row r="10" spans="1:20" ht="16.149999999999999" customHeight="1">
      <c r="A10" s="890" t="s">
        <v>307</v>
      </c>
      <c r="B10" s="863"/>
      <c r="C10" s="863"/>
      <c r="D10" s="863"/>
      <c r="E10" s="244"/>
      <c r="F10" s="777"/>
      <c r="H10" s="777"/>
      <c r="I10" s="777"/>
      <c r="J10" s="777"/>
      <c r="K10" s="777"/>
      <c r="L10" s="777"/>
      <c r="M10" s="777"/>
      <c r="N10" s="777"/>
      <c r="O10" s="777"/>
      <c r="P10" s="777"/>
      <c r="Q10" s="777"/>
      <c r="R10" s="763"/>
    </row>
    <row r="11" spans="1:20" ht="16.149999999999999" customHeight="1" thickBot="1">
      <c r="A11" s="763"/>
      <c r="B11" s="893" t="s">
        <v>308</v>
      </c>
      <c r="C11" s="887"/>
      <c r="D11" s="894"/>
      <c r="E11" s="245" t="e">
        <f ca="1">F11*'P-Escalation'!M14</f>
        <v>#DIV/0!</v>
      </c>
      <c r="F11" s="154">
        <f>SUM(H11:Q11)</f>
        <v>0</v>
      </c>
      <c r="H11" s="155"/>
      <c r="I11" s="155"/>
      <c r="J11" s="155"/>
      <c r="K11" s="155"/>
      <c r="L11" s="155"/>
      <c r="M11" s="155"/>
      <c r="N11" s="155"/>
      <c r="O11" s="155"/>
      <c r="P11" s="155"/>
      <c r="Q11" s="155"/>
      <c r="R11" s="763"/>
      <c r="T11" s="153"/>
    </row>
    <row r="12" spans="1:20" ht="16.149999999999999" customHeight="1" thickBot="1">
      <c r="A12" s="763"/>
      <c r="B12" s="882" t="s">
        <v>309</v>
      </c>
      <c r="C12" s="883"/>
      <c r="D12" s="884"/>
      <c r="E12" s="243" t="e">
        <f ca="1">E11</f>
        <v>#DIV/0!</v>
      </c>
      <c r="F12" s="156">
        <f>SUM(H12:Q12)</f>
        <v>0</v>
      </c>
      <c r="H12" s="157">
        <f t="shared" ref="H12:Q12" si="0">SUM(H11:H11)</f>
        <v>0</v>
      </c>
      <c r="I12" s="157">
        <f t="shared" si="0"/>
        <v>0</v>
      </c>
      <c r="J12" s="157">
        <f t="shared" si="0"/>
        <v>0</v>
      </c>
      <c r="K12" s="157">
        <f t="shared" si="0"/>
        <v>0</v>
      </c>
      <c r="L12" s="157">
        <f t="shared" si="0"/>
        <v>0</v>
      </c>
      <c r="M12" s="157">
        <f t="shared" si="0"/>
        <v>0</v>
      </c>
      <c r="N12" s="157">
        <f t="shared" si="0"/>
        <v>0</v>
      </c>
      <c r="O12" s="157">
        <f t="shared" si="0"/>
        <v>0</v>
      </c>
      <c r="P12" s="157">
        <f t="shared" si="0"/>
        <v>0</v>
      </c>
      <c r="Q12" s="157">
        <f t="shared" si="0"/>
        <v>0</v>
      </c>
      <c r="R12" s="763"/>
      <c r="S12" s="206" t="e">
        <f>H12/'P-Overview'!C39</f>
        <v>#DIV/0!</v>
      </c>
      <c r="T12" s="153"/>
    </row>
    <row r="13" spans="1:20" ht="16.149999999999999" customHeight="1">
      <c r="A13" s="763"/>
      <c r="B13" s="886"/>
      <c r="C13" s="887"/>
      <c r="D13" s="887"/>
      <c r="E13" s="242"/>
      <c r="F13" s="151"/>
      <c r="H13" s="151"/>
      <c r="I13" s="151"/>
      <c r="J13" s="151"/>
      <c r="K13" s="151"/>
      <c r="L13" s="151"/>
      <c r="M13" s="151"/>
      <c r="N13" s="151"/>
      <c r="O13" s="151"/>
      <c r="P13" s="151"/>
      <c r="Q13" s="151"/>
      <c r="R13" s="763"/>
    </row>
    <row r="14" spans="1:20" ht="16.149999999999999" customHeight="1">
      <c r="A14" s="890" t="s">
        <v>97</v>
      </c>
      <c r="B14" s="863"/>
      <c r="C14" s="863"/>
      <c r="D14" s="863"/>
      <c r="E14" s="244"/>
      <c r="F14" s="777"/>
      <c r="H14" s="777"/>
      <c r="I14" s="777"/>
      <c r="J14" s="777"/>
      <c r="K14" s="777"/>
      <c r="L14" s="777"/>
      <c r="M14" s="777"/>
      <c r="N14" s="777"/>
      <c r="O14" s="777"/>
      <c r="P14" s="777"/>
      <c r="Q14" s="777"/>
      <c r="R14" s="763"/>
    </row>
    <row r="15" spans="1:20" ht="16.149999999999999" customHeight="1">
      <c r="A15" s="763"/>
      <c r="B15" s="879" t="s">
        <v>310</v>
      </c>
      <c r="C15" s="880"/>
      <c r="D15" s="881"/>
      <c r="E15" s="246" t="e">
        <f ca="1">F15*'P-Escalation'!$M$20</f>
        <v>#DIV/0!</v>
      </c>
      <c r="F15" s="158">
        <f t="shared" ref="F15:F25" si="1">SUM(H15:Q15)</f>
        <v>0</v>
      </c>
      <c r="H15" s="152"/>
      <c r="I15" s="152"/>
      <c r="J15" s="152"/>
      <c r="K15" s="152"/>
      <c r="L15" s="152"/>
      <c r="M15" s="152"/>
      <c r="N15" s="152"/>
      <c r="O15" s="152"/>
      <c r="P15" s="152"/>
      <c r="Q15" s="152"/>
      <c r="R15" s="763"/>
      <c r="T15" s="159"/>
    </row>
    <row r="16" spans="1:20" ht="16.149999999999999" customHeight="1">
      <c r="A16" s="763"/>
      <c r="B16" s="879" t="s">
        <v>311</v>
      </c>
      <c r="C16" s="880"/>
      <c r="D16" s="881"/>
      <c r="E16" s="246" t="e">
        <f ca="1">F16*'P-Escalation'!$M$20</f>
        <v>#DIV/0!</v>
      </c>
      <c r="F16" s="158">
        <f t="shared" si="1"/>
        <v>0</v>
      </c>
      <c r="H16" s="152"/>
      <c r="I16" s="152"/>
      <c r="J16" s="152"/>
      <c r="K16" s="152"/>
      <c r="L16" s="152"/>
      <c r="M16" s="152"/>
      <c r="N16" s="152"/>
      <c r="O16" s="152"/>
      <c r="P16" s="152"/>
      <c r="Q16" s="152"/>
      <c r="R16" s="763"/>
      <c r="T16" s="153"/>
    </row>
    <row r="17" spans="1:23" ht="16.149999999999999" customHeight="1">
      <c r="A17" s="763"/>
      <c r="B17" s="879" t="s">
        <v>312</v>
      </c>
      <c r="C17" s="880"/>
      <c r="D17" s="881"/>
      <c r="E17" s="246" t="e">
        <f ca="1">F17*'P-Escalation'!$M$20</f>
        <v>#DIV/0!</v>
      </c>
      <c r="F17" s="158">
        <f t="shared" si="1"/>
        <v>0</v>
      </c>
      <c r="H17" s="152"/>
      <c r="I17" s="152"/>
      <c r="J17" s="152"/>
      <c r="K17" s="152"/>
      <c r="L17" s="152"/>
      <c r="M17" s="152"/>
      <c r="N17" s="152"/>
      <c r="O17" s="152"/>
      <c r="P17" s="152"/>
      <c r="Q17" s="152"/>
      <c r="R17" s="763"/>
      <c r="T17" s="153"/>
      <c r="U17" s="763"/>
      <c r="V17" s="763"/>
      <c r="W17" s="763"/>
    </row>
    <row r="18" spans="1:23" ht="16.149999999999999" customHeight="1">
      <c r="A18" s="763"/>
      <c r="B18" s="879" t="s">
        <v>313</v>
      </c>
      <c r="C18" s="880"/>
      <c r="D18" s="881"/>
      <c r="E18" s="246" t="e">
        <f ca="1">F18*'P-Escalation'!$M$20</f>
        <v>#DIV/0!</v>
      </c>
      <c r="F18" s="158">
        <f t="shared" si="1"/>
        <v>0</v>
      </c>
      <c r="H18" s="152"/>
      <c r="I18" s="152"/>
      <c r="J18" s="152"/>
      <c r="K18" s="152"/>
      <c r="L18" s="152"/>
      <c r="M18" s="152"/>
      <c r="N18" s="152"/>
      <c r="O18" s="152"/>
      <c r="P18" s="152"/>
      <c r="Q18" s="152"/>
      <c r="R18" s="763"/>
      <c r="T18" s="153"/>
      <c r="U18" s="763"/>
      <c r="V18" s="763"/>
      <c r="W18" s="763"/>
    </row>
    <row r="19" spans="1:23" ht="16.149999999999999" customHeight="1">
      <c r="A19" s="763"/>
      <c r="B19" s="879" t="s">
        <v>314</v>
      </c>
      <c r="C19" s="880"/>
      <c r="D19" s="881"/>
      <c r="E19" s="246" t="e">
        <f ca="1">F19*'P-Escalation'!$M$20</f>
        <v>#DIV/0!</v>
      </c>
      <c r="F19" s="158">
        <f t="shared" si="1"/>
        <v>0</v>
      </c>
      <c r="H19" s="152"/>
      <c r="I19" s="152"/>
      <c r="J19" s="152"/>
      <c r="K19" s="152"/>
      <c r="L19" s="152"/>
      <c r="M19" s="152"/>
      <c r="N19" s="152"/>
      <c r="O19" s="152"/>
      <c r="P19" s="152"/>
      <c r="Q19" s="152"/>
      <c r="R19" s="763"/>
      <c r="T19" s="153"/>
      <c r="U19" s="763"/>
      <c r="V19" s="763"/>
      <c r="W19" s="763"/>
    </row>
    <row r="20" spans="1:23" ht="16.149999999999999" customHeight="1">
      <c r="A20" s="763"/>
      <c r="B20" s="879" t="s">
        <v>315</v>
      </c>
      <c r="C20" s="880"/>
      <c r="D20" s="881"/>
      <c r="E20" s="246" t="e">
        <f ca="1">F20*'P-Escalation'!$M$20</f>
        <v>#DIV/0!</v>
      </c>
      <c r="F20" s="158">
        <f t="shared" si="1"/>
        <v>0</v>
      </c>
      <c r="H20" s="152"/>
      <c r="I20" s="152"/>
      <c r="J20" s="152"/>
      <c r="K20" s="152"/>
      <c r="L20" s="152"/>
      <c r="M20" s="152"/>
      <c r="N20" s="152"/>
      <c r="O20" s="152"/>
      <c r="P20" s="152"/>
      <c r="Q20" s="152"/>
      <c r="R20" s="763"/>
      <c r="T20" s="153"/>
      <c r="U20" s="763"/>
      <c r="V20" s="763"/>
      <c r="W20" s="763"/>
    </row>
    <row r="21" spans="1:23" ht="16.149999999999999" customHeight="1">
      <c r="A21" s="763"/>
      <c r="B21" s="879" t="s">
        <v>316</v>
      </c>
      <c r="C21" s="880"/>
      <c r="D21" s="881"/>
      <c r="E21" s="246" t="e">
        <f ca="1">F21*'P-Escalation'!$M$20</f>
        <v>#DIV/0!</v>
      </c>
      <c r="F21" s="158">
        <f t="shared" si="1"/>
        <v>0</v>
      </c>
      <c r="H21" s="152"/>
      <c r="I21" s="152"/>
      <c r="J21" s="152"/>
      <c r="K21" s="152"/>
      <c r="L21" s="152"/>
      <c r="M21" s="152"/>
      <c r="N21" s="152"/>
      <c r="O21" s="152"/>
      <c r="P21" s="152"/>
      <c r="Q21" s="152"/>
      <c r="R21" s="763"/>
      <c r="T21" s="153"/>
      <c r="U21" s="763"/>
      <c r="V21" s="763"/>
      <c r="W21" s="6"/>
    </row>
    <row r="22" spans="1:23" ht="16.149999999999999" customHeight="1">
      <c r="A22" s="763"/>
      <c r="B22" s="879" t="s">
        <v>317</v>
      </c>
      <c r="C22" s="880"/>
      <c r="D22" s="881"/>
      <c r="E22" s="246" t="e">
        <f ca="1">F22*'P-Escalation'!$M$20</f>
        <v>#DIV/0!</v>
      </c>
      <c r="F22" s="158">
        <f t="shared" si="1"/>
        <v>0</v>
      </c>
      <c r="H22" s="152"/>
      <c r="I22" s="152"/>
      <c r="J22" s="152"/>
      <c r="K22" s="152"/>
      <c r="L22" s="152"/>
      <c r="M22" s="152"/>
      <c r="N22" s="152"/>
      <c r="O22" s="152"/>
      <c r="P22" s="152"/>
      <c r="Q22" s="152"/>
      <c r="R22" s="763"/>
      <c r="T22" s="153"/>
      <c r="U22" s="763"/>
      <c r="V22" s="763"/>
      <c r="W22" s="763"/>
    </row>
    <row r="23" spans="1:23" ht="16.149999999999999" customHeight="1">
      <c r="A23" s="763"/>
      <c r="B23" s="879" t="s">
        <v>318</v>
      </c>
      <c r="C23" s="880"/>
      <c r="D23" s="881"/>
      <c r="E23" s="246" t="e">
        <f ca="1">F23*'P-Escalation'!$M$20</f>
        <v>#DIV/0!</v>
      </c>
      <c r="F23" s="158">
        <f t="shared" si="1"/>
        <v>0</v>
      </c>
      <c r="H23" s="152"/>
      <c r="I23" s="152"/>
      <c r="J23" s="152"/>
      <c r="K23" s="152"/>
      <c r="L23" s="152"/>
      <c r="M23" s="152"/>
      <c r="N23" s="152"/>
      <c r="O23" s="152"/>
      <c r="P23" s="152"/>
      <c r="Q23" s="152"/>
      <c r="R23" s="763"/>
      <c r="T23" s="160"/>
      <c r="U23" s="763"/>
      <c r="V23" s="763"/>
      <c r="W23" s="763"/>
    </row>
    <row r="24" spans="1:23" ht="16.149999999999999" customHeight="1">
      <c r="A24" s="763"/>
      <c r="B24" s="879" t="s">
        <v>319</v>
      </c>
      <c r="C24" s="880"/>
      <c r="D24" s="881"/>
      <c r="E24" s="246" t="e">
        <f ca="1">F24*'P-Escalation'!$M$20</f>
        <v>#DIV/0!</v>
      </c>
      <c r="F24" s="158">
        <f t="shared" si="1"/>
        <v>0</v>
      </c>
      <c r="H24" s="152"/>
      <c r="I24" s="152"/>
      <c r="J24" s="152"/>
      <c r="K24" s="152"/>
      <c r="L24" s="152"/>
      <c r="M24" s="152"/>
      <c r="N24" s="152"/>
      <c r="O24" s="152"/>
      <c r="P24" s="152"/>
      <c r="Q24" s="152"/>
      <c r="R24" s="763"/>
      <c r="T24" s="160"/>
      <c r="U24" s="763"/>
      <c r="V24" s="763"/>
      <c r="W24" s="763"/>
    </row>
    <row r="25" spans="1:23" ht="16.149999999999999" customHeight="1">
      <c r="A25" s="763"/>
      <c r="B25" s="879" t="s">
        <v>320</v>
      </c>
      <c r="C25" s="880"/>
      <c r="D25" s="881"/>
      <c r="E25" s="246" t="e">
        <f ca="1">F25*'P-Escalation'!$M$20</f>
        <v>#DIV/0!</v>
      </c>
      <c r="F25" s="158">
        <f t="shared" si="1"/>
        <v>0</v>
      </c>
      <c r="H25" s="152"/>
      <c r="I25" s="152"/>
      <c r="J25" s="152"/>
      <c r="K25" s="152"/>
      <c r="L25" s="152"/>
      <c r="M25" s="152"/>
      <c r="N25" s="152"/>
      <c r="O25" s="152"/>
      <c r="P25" s="152"/>
      <c r="Q25" s="152"/>
      <c r="R25" s="763"/>
      <c r="T25" s="160"/>
      <c r="U25" s="763"/>
      <c r="V25" s="763"/>
      <c r="W25" s="763"/>
    </row>
    <row r="26" spans="1:23" ht="16.149999999999999" customHeight="1">
      <c r="A26" s="763"/>
      <c r="B26" s="885" t="s">
        <v>321</v>
      </c>
      <c r="C26" s="880"/>
      <c r="D26" s="881"/>
      <c r="E26" s="246" t="e">
        <f ca="1">F26*'P-Escalation'!$M$20</f>
        <v>#DIV/0!</v>
      </c>
      <c r="F26" s="158"/>
      <c r="H26" s="158"/>
      <c r="I26" s="158"/>
      <c r="J26" s="158"/>
      <c r="K26" s="158"/>
      <c r="L26" s="158"/>
      <c r="M26" s="158"/>
      <c r="N26" s="158"/>
      <c r="O26" s="158"/>
      <c r="P26" s="158"/>
      <c r="Q26" s="158"/>
      <c r="R26" s="763"/>
      <c r="T26" s="153"/>
      <c r="U26" s="763"/>
      <c r="V26" s="763"/>
      <c r="W26" s="763"/>
    </row>
    <row r="27" spans="1:23" ht="16.149999999999999" customHeight="1">
      <c r="A27" s="763"/>
      <c r="B27" s="775"/>
      <c r="C27" s="877" t="s">
        <v>322</v>
      </c>
      <c r="D27" s="878"/>
      <c r="E27" s="246" t="e">
        <f ca="1">F27*'P-Escalation'!$M$20</f>
        <v>#DIV/0!</v>
      </c>
      <c r="F27" s="158">
        <f>SUM(H27:Q27)</f>
        <v>0</v>
      </c>
      <c r="G27" s="128"/>
      <c r="H27" s="152"/>
      <c r="I27" s="152">
        <f>'P-Overview'!C42*25000</f>
        <v>0</v>
      </c>
      <c r="J27" s="152"/>
      <c r="K27" s="152"/>
      <c r="L27" s="152"/>
      <c r="M27" s="152"/>
      <c r="N27" s="152"/>
      <c r="O27" s="152"/>
      <c r="P27" s="152"/>
      <c r="Q27" s="152"/>
      <c r="R27" s="763"/>
      <c r="T27" s="153"/>
      <c r="U27" s="763"/>
      <c r="V27" s="763"/>
      <c r="W27" s="763"/>
    </row>
    <row r="28" spans="1:23" ht="16.149999999999999" customHeight="1" thickBot="1">
      <c r="A28" s="763"/>
      <c r="B28" s="778"/>
      <c r="C28" s="877"/>
      <c r="D28" s="878"/>
      <c r="E28" s="246" t="e">
        <f ca="1">F28*'P-Escalation'!$M$20</f>
        <v>#DIV/0!</v>
      </c>
      <c r="F28" s="158">
        <f>SUM(H28:Q28)</f>
        <v>0</v>
      </c>
      <c r="G28" s="128"/>
      <c r="H28" s="152"/>
      <c r="I28" s="152"/>
      <c r="J28" s="152"/>
      <c r="K28" s="152"/>
      <c r="L28" s="152"/>
      <c r="M28" s="152"/>
      <c r="N28" s="152"/>
      <c r="O28" s="152"/>
      <c r="P28" s="152"/>
      <c r="Q28" s="152"/>
      <c r="R28" s="763"/>
      <c r="T28" s="153"/>
      <c r="U28" s="763"/>
      <c r="V28" s="763"/>
      <c r="W28" s="763"/>
    </row>
    <row r="29" spans="1:23" ht="16.149999999999999" customHeight="1" thickBot="1">
      <c r="A29" s="763"/>
      <c r="B29" s="882" t="s">
        <v>323</v>
      </c>
      <c r="C29" s="896"/>
      <c r="D29" s="897"/>
      <c r="E29" s="243" t="e">
        <f ca="1">SUM(E15:E28)</f>
        <v>#DIV/0!</v>
      </c>
      <c r="F29" s="156">
        <f>SUM(H29:Q29)</f>
        <v>0</v>
      </c>
      <c r="G29" s="128"/>
      <c r="H29" s="157">
        <f t="shared" ref="H29:Q29" si="2">SUM(H15:H28)</f>
        <v>0</v>
      </c>
      <c r="I29" s="157">
        <f t="shared" si="2"/>
        <v>0</v>
      </c>
      <c r="J29" s="157">
        <f t="shared" si="2"/>
        <v>0</v>
      </c>
      <c r="K29" s="157">
        <f t="shared" si="2"/>
        <v>0</v>
      </c>
      <c r="L29" s="157">
        <f t="shared" si="2"/>
        <v>0</v>
      </c>
      <c r="M29" s="157">
        <f t="shared" si="2"/>
        <v>0</v>
      </c>
      <c r="N29" s="157">
        <f t="shared" si="2"/>
        <v>0</v>
      </c>
      <c r="O29" s="157">
        <f t="shared" si="2"/>
        <v>0</v>
      </c>
      <c r="P29" s="157">
        <f t="shared" si="2"/>
        <v>0</v>
      </c>
      <c r="Q29" s="157">
        <f t="shared" si="2"/>
        <v>0</v>
      </c>
      <c r="R29" s="763"/>
      <c r="S29" s="147" t="e">
        <f>F29/F12</f>
        <v>#DIV/0!</v>
      </c>
      <c r="T29" s="153"/>
      <c r="U29" s="763"/>
      <c r="V29" s="763"/>
      <c r="W29" s="763"/>
    </row>
    <row r="30" spans="1:23" ht="16.149999999999999" customHeight="1">
      <c r="A30" s="763"/>
      <c r="B30" s="886"/>
      <c r="C30" s="887"/>
      <c r="D30" s="887"/>
      <c r="E30" s="242"/>
      <c r="F30" s="151"/>
      <c r="G30" s="128"/>
      <c r="H30" s="151"/>
      <c r="I30" s="151"/>
      <c r="J30" s="151"/>
      <c r="K30" s="151"/>
      <c r="L30" s="151"/>
      <c r="M30" s="151"/>
      <c r="N30" s="151"/>
      <c r="O30" s="151"/>
      <c r="P30" s="151"/>
      <c r="Q30" s="151"/>
      <c r="R30" s="763"/>
      <c r="U30" s="763"/>
      <c r="V30" s="763"/>
      <c r="W30" s="763"/>
    </row>
    <row r="31" spans="1:23" ht="16.149999999999999" customHeight="1">
      <c r="A31" s="890" t="s">
        <v>99</v>
      </c>
      <c r="B31" s="863"/>
      <c r="C31" s="863"/>
      <c r="D31" s="863"/>
      <c r="E31" s="244"/>
      <c r="F31" s="777"/>
      <c r="G31" s="128"/>
      <c r="H31" s="777"/>
      <c r="I31" s="777"/>
      <c r="J31" s="777"/>
      <c r="K31" s="777"/>
      <c r="L31" s="777"/>
      <c r="M31" s="777"/>
      <c r="N31" s="777"/>
      <c r="O31" s="777"/>
      <c r="P31" s="777"/>
      <c r="Q31" s="777"/>
      <c r="R31" s="763"/>
      <c r="U31" s="763"/>
      <c r="V31" s="763"/>
      <c r="W31" s="763"/>
    </row>
    <row r="32" spans="1:23" ht="16.149999999999999" customHeight="1">
      <c r="A32" s="763"/>
      <c r="B32" s="898" t="s">
        <v>324</v>
      </c>
      <c r="C32" s="898"/>
      <c r="D32" s="898"/>
      <c r="E32" s="246" t="e">
        <f ca="1">F32*'P-Escalation'!M26</f>
        <v>#DIV/0!</v>
      </c>
      <c r="F32" s="158">
        <f>SUM(H32:Q32)</f>
        <v>0</v>
      </c>
      <c r="G32" s="128"/>
      <c r="H32" s="152"/>
      <c r="I32" s="152"/>
      <c r="J32" s="152"/>
      <c r="K32" s="152"/>
      <c r="L32" s="152"/>
      <c r="M32" s="152"/>
      <c r="N32" s="152"/>
      <c r="O32" s="152"/>
      <c r="P32" s="152"/>
      <c r="Q32" s="152"/>
      <c r="R32" s="763"/>
      <c r="T32" s="160"/>
      <c r="U32" s="763"/>
      <c r="V32" s="763"/>
      <c r="W32" s="763"/>
    </row>
    <row r="33" spans="1:20" ht="16.149999999999999" customHeight="1" thickBot="1">
      <c r="A33" s="763"/>
      <c r="B33" s="879" t="s">
        <v>325</v>
      </c>
      <c r="C33" s="904"/>
      <c r="D33" s="904"/>
      <c r="E33" s="246" t="e">
        <f ca="1">F33*'P-Escalation'!M26</f>
        <v>#DIV/0!</v>
      </c>
      <c r="F33" s="158">
        <f>SUM(H33:Q33)</f>
        <v>0</v>
      </c>
      <c r="G33" s="128"/>
      <c r="H33" s="155"/>
      <c r="I33" s="155"/>
      <c r="J33" s="155"/>
      <c r="K33" s="155"/>
      <c r="L33" s="155"/>
      <c r="M33" s="155"/>
      <c r="N33" s="155"/>
      <c r="O33" s="155"/>
      <c r="P33" s="155"/>
      <c r="Q33" s="155"/>
      <c r="R33" s="763"/>
      <c r="T33" s="160"/>
    </row>
    <row r="34" spans="1:20" ht="16.149999999999999" customHeight="1" thickBot="1">
      <c r="A34" s="763"/>
      <c r="B34" s="882" t="s">
        <v>326</v>
      </c>
      <c r="C34" s="896"/>
      <c r="D34" s="897"/>
      <c r="E34" s="243" t="e">
        <f ca="1">SUM(E32:E33)</f>
        <v>#DIV/0!</v>
      </c>
      <c r="F34" s="156">
        <f>SUM(H34:Q34)</f>
        <v>0</v>
      </c>
      <c r="G34" s="128"/>
      <c r="H34" s="157">
        <f>SUM(H32:H33)</f>
        <v>0</v>
      </c>
      <c r="I34" s="157">
        <f t="shared" ref="I34:Q34" si="3">SUM(I32:I33)</f>
        <v>0</v>
      </c>
      <c r="J34" s="157">
        <f t="shared" si="3"/>
        <v>0</v>
      </c>
      <c r="K34" s="157">
        <f t="shared" si="3"/>
        <v>0</v>
      </c>
      <c r="L34" s="157">
        <f t="shared" si="3"/>
        <v>0</v>
      </c>
      <c r="M34" s="157">
        <f t="shared" si="3"/>
        <v>0</v>
      </c>
      <c r="N34" s="157">
        <f t="shared" si="3"/>
        <v>0</v>
      </c>
      <c r="O34" s="157">
        <f t="shared" si="3"/>
        <v>0</v>
      </c>
      <c r="P34" s="157">
        <f t="shared" si="3"/>
        <v>0</v>
      </c>
      <c r="Q34" s="157">
        <f t="shared" si="3"/>
        <v>0</v>
      </c>
      <c r="R34" s="763"/>
      <c r="S34" s="147" t="e">
        <f>F34/F12</f>
        <v>#DIV/0!</v>
      </c>
      <c r="T34" s="153"/>
    </row>
    <row r="35" spans="1:20" ht="16.149999999999999" customHeight="1">
      <c r="A35" s="763"/>
      <c r="B35" s="890"/>
      <c r="C35" s="901"/>
      <c r="D35" s="901"/>
      <c r="E35" s="242"/>
      <c r="F35" s="151"/>
      <c r="G35" s="128"/>
      <c r="H35" s="151"/>
      <c r="I35" s="151"/>
      <c r="J35" s="151"/>
      <c r="K35" s="151"/>
      <c r="L35" s="151"/>
      <c r="M35" s="151"/>
      <c r="N35" s="151"/>
      <c r="O35" s="151"/>
      <c r="P35" s="151"/>
      <c r="Q35" s="151"/>
      <c r="R35" s="763"/>
    </row>
    <row r="36" spans="1:20" ht="16.149999999999999" customHeight="1">
      <c r="A36" s="890" t="s">
        <v>327</v>
      </c>
      <c r="B36" s="863"/>
      <c r="C36" s="863"/>
      <c r="D36" s="863"/>
      <c r="E36" s="244"/>
      <c r="F36" s="777"/>
      <c r="G36" s="128"/>
      <c r="H36" s="777"/>
      <c r="I36" s="777"/>
      <c r="J36" s="777"/>
      <c r="K36" s="777"/>
      <c r="L36" s="777"/>
      <c r="M36" s="777"/>
      <c r="N36" s="777"/>
      <c r="O36" s="777"/>
      <c r="P36" s="777"/>
      <c r="Q36" s="777"/>
      <c r="R36" s="763"/>
    </row>
    <row r="37" spans="1:20" ht="16.149999999999999" customHeight="1">
      <c r="A37" s="763"/>
      <c r="B37" s="898" t="s">
        <v>328</v>
      </c>
      <c r="C37" s="898"/>
      <c r="D37" s="898"/>
      <c r="E37" s="246" t="e">
        <f ca="1">F37*'P-Escalation'!$M$32</f>
        <v>#DIV/0!</v>
      </c>
      <c r="F37" s="158">
        <f>SUM(H37:Q37)</f>
        <v>0</v>
      </c>
      <c r="G37" s="128"/>
      <c r="H37" s="152"/>
      <c r="I37" s="152"/>
      <c r="J37" s="152"/>
      <c r="K37" s="152"/>
      <c r="L37" s="152"/>
      <c r="M37" s="152"/>
      <c r="N37" s="152"/>
      <c r="O37" s="152"/>
      <c r="P37" s="152"/>
      <c r="Q37" s="152"/>
      <c r="R37" s="763"/>
      <c r="T37" s="160"/>
    </row>
    <row r="38" spans="1:20" ht="16.149999999999999" customHeight="1">
      <c r="A38" s="763"/>
      <c r="B38" s="879" t="s">
        <v>329</v>
      </c>
      <c r="C38" s="904"/>
      <c r="D38" s="904"/>
      <c r="E38" s="246" t="e">
        <f ca="1">F38*'P-Escalation'!$M$32</f>
        <v>#DIV/0!</v>
      </c>
      <c r="F38" s="158"/>
      <c r="G38" s="128"/>
      <c r="H38" s="158"/>
      <c r="I38" s="158"/>
      <c r="J38" s="158"/>
      <c r="K38" s="158"/>
      <c r="L38" s="158"/>
      <c r="M38" s="158"/>
      <c r="N38" s="158"/>
      <c r="O38" s="158"/>
      <c r="P38" s="158"/>
      <c r="Q38" s="158"/>
      <c r="R38" s="763"/>
      <c r="T38" s="153"/>
    </row>
    <row r="39" spans="1:20" ht="16.149999999999999" customHeight="1">
      <c r="A39" s="763"/>
      <c r="B39" s="773"/>
      <c r="C39" s="899" t="s">
        <v>330</v>
      </c>
      <c r="D39" s="899"/>
      <c r="E39" s="246" t="e">
        <f ca="1">F39*'P-Escalation'!$M$32</f>
        <v>#DIV/0!</v>
      </c>
      <c r="F39" s="158">
        <f t="shared" ref="F39:F51" si="4">SUM(H39:Q39)</f>
        <v>0</v>
      </c>
      <c r="G39" s="128"/>
      <c r="H39" s="152"/>
      <c r="I39" s="152"/>
      <c r="J39" s="152"/>
      <c r="K39" s="152"/>
      <c r="L39" s="152"/>
      <c r="M39" s="152"/>
      <c r="N39" s="152"/>
      <c r="O39" s="152"/>
      <c r="P39" s="152"/>
      <c r="Q39" s="152"/>
      <c r="R39" s="763"/>
      <c r="T39" s="153"/>
    </row>
    <row r="40" spans="1:20" ht="16.149999999999999" customHeight="1">
      <c r="A40" s="763"/>
      <c r="B40" s="773"/>
      <c r="C40" s="877"/>
      <c r="D40" s="878"/>
      <c r="E40" s="246" t="e">
        <f ca="1">F40*'P-Escalation'!$M$32</f>
        <v>#DIV/0!</v>
      </c>
      <c r="F40" s="158">
        <f t="shared" si="4"/>
        <v>0</v>
      </c>
      <c r="G40" s="128"/>
      <c r="H40" s="152"/>
      <c r="I40" s="152"/>
      <c r="J40" s="152"/>
      <c r="K40" s="152"/>
      <c r="L40" s="152"/>
      <c r="M40" s="152"/>
      <c r="N40" s="152"/>
      <c r="O40" s="152"/>
      <c r="P40" s="152"/>
      <c r="Q40" s="152"/>
      <c r="R40" s="763"/>
      <c r="T40" s="153"/>
    </row>
    <row r="41" spans="1:20" ht="16.149999999999999" customHeight="1">
      <c r="A41" s="763"/>
      <c r="B41" s="898" t="s">
        <v>331</v>
      </c>
      <c r="C41" s="898"/>
      <c r="D41" s="898"/>
      <c r="E41" s="246" t="e">
        <f ca="1">F41*'P-Escalation'!$M$32</f>
        <v>#DIV/0!</v>
      </c>
      <c r="F41" s="158">
        <f t="shared" si="4"/>
        <v>0</v>
      </c>
      <c r="G41" s="128"/>
      <c r="H41" s="152"/>
      <c r="I41" s="152"/>
      <c r="J41" s="152"/>
      <c r="K41" s="152"/>
      <c r="L41" s="152"/>
      <c r="M41" s="152"/>
      <c r="N41" s="152"/>
      <c r="O41" s="152"/>
      <c r="P41" s="152"/>
      <c r="Q41" s="152"/>
      <c r="R41" s="763"/>
      <c r="T41" s="153"/>
    </row>
    <row r="42" spans="1:20" ht="16.149999999999999" customHeight="1">
      <c r="A42" s="763"/>
      <c r="B42" s="879" t="s">
        <v>332</v>
      </c>
      <c r="C42" s="904"/>
      <c r="D42" s="905"/>
      <c r="E42" s="246" t="e">
        <f ca="1">F42*'P-Escalation'!$M$32</f>
        <v>#DIV/0!</v>
      </c>
      <c r="F42" s="158">
        <f t="shared" si="4"/>
        <v>0</v>
      </c>
      <c r="G42" s="128"/>
      <c r="H42" s="152"/>
      <c r="I42" s="152"/>
      <c r="J42" s="152"/>
      <c r="K42" s="152"/>
      <c r="L42" s="152"/>
      <c r="M42" s="152"/>
      <c r="N42" s="152"/>
      <c r="O42" s="152"/>
      <c r="P42" s="152"/>
      <c r="Q42" s="152"/>
      <c r="R42" s="763"/>
      <c r="T42" s="153"/>
    </row>
    <row r="43" spans="1:20" ht="16.149999999999999" customHeight="1">
      <c r="A43" s="763"/>
      <c r="B43" s="898" t="s">
        <v>333</v>
      </c>
      <c r="C43" s="898" t="s">
        <v>334</v>
      </c>
      <c r="D43" s="898"/>
      <c r="E43" s="246" t="e">
        <f ca="1">F43*'P-Escalation'!$M$32</f>
        <v>#DIV/0!</v>
      </c>
      <c r="F43" s="158">
        <f t="shared" si="4"/>
        <v>0</v>
      </c>
      <c r="G43" s="128"/>
      <c r="H43" s="152"/>
      <c r="I43" s="152"/>
      <c r="J43" s="152"/>
      <c r="K43" s="152"/>
      <c r="L43" s="152"/>
      <c r="M43" s="152"/>
      <c r="N43" s="152"/>
      <c r="O43" s="152"/>
      <c r="P43" s="152"/>
      <c r="Q43" s="152"/>
      <c r="R43" s="763"/>
      <c r="T43" s="153"/>
    </row>
    <row r="44" spans="1:20" ht="16.149999999999999" customHeight="1">
      <c r="A44" s="763"/>
      <c r="B44" s="898" t="s">
        <v>335</v>
      </c>
      <c r="C44" s="898" t="s">
        <v>336</v>
      </c>
      <c r="D44" s="898"/>
      <c r="E44" s="246" t="e">
        <f ca="1">F44*'P-Escalation'!$M$32</f>
        <v>#DIV/0!</v>
      </c>
      <c r="F44" s="158">
        <f t="shared" si="4"/>
        <v>0</v>
      </c>
      <c r="G44" s="128"/>
      <c r="H44" s="152"/>
      <c r="I44" s="152"/>
      <c r="J44" s="152"/>
      <c r="K44" s="152"/>
      <c r="L44" s="152"/>
      <c r="M44" s="152"/>
      <c r="N44" s="152"/>
      <c r="O44" s="152"/>
      <c r="P44" s="152"/>
      <c r="Q44" s="152"/>
      <c r="R44" s="763"/>
      <c r="T44" s="153"/>
    </row>
    <row r="45" spans="1:20" ht="16.149999999999999" customHeight="1">
      <c r="A45" s="763"/>
      <c r="B45" s="898" t="s">
        <v>337</v>
      </c>
      <c r="C45" s="898"/>
      <c r="D45" s="898"/>
      <c r="E45" s="246" t="e">
        <f ca="1">F45*'P-Escalation'!$M$32</f>
        <v>#DIV/0!</v>
      </c>
      <c r="F45" s="158">
        <f t="shared" si="4"/>
        <v>0</v>
      </c>
      <c r="G45" s="128"/>
      <c r="H45" s="152"/>
      <c r="I45" s="152"/>
      <c r="J45" s="152"/>
      <c r="K45" s="152"/>
      <c r="L45" s="152"/>
      <c r="M45" s="152"/>
      <c r="N45" s="152"/>
      <c r="O45" s="152"/>
      <c r="P45" s="152"/>
      <c r="Q45" s="152"/>
      <c r="R45" s="763"/>
      <c r="T45" s="160"/>
    </row>
    <row r="46" spans="1:20" ht="16.149999999999999" customHeight="1">
      <c r="A46" s="763"/>
      <c r="B46" s="898" t="s">
        <v>338</v>
      </c>
      <c r="C46" s="898"/>
      <c r="D46" s="898"/>
      <c r="E46" s="246" t="e">
        <f ca="1">F46*'P-Escalation'!$M$32</f>
        <v>#DIV/0!</v>
      </c>
      <c r="F46" s="158">
        <f t="shared" si="4"/>
        <v>0</v>
      </c>
      <c r="G46" s="128"/>
      <c r="H46" s="152"/>
      <c r="I46" s="152"/>
      <c r="J46" s="152"/>
      <c r="K46" s="152"/>
      <c r="L46" s="152"/>
      <c r="M46" s="152"/>
      <c r="N46" s="152"/>
      <c r="O46" s="152"/>
      <c r="P46" s="152"/>
      <c r="Q46" s="152"/>
      <c r="R46" s="763"/>
      <c r="T46" s="153"/>
    </row>
    <row r="47" spans="1:20" ht="16.149999999999999" customHeight="1">
      <c r="A47" s="763"/>
      <c r="B47" s="898" t="s">
        <v>339</v>
      </c>
      <c r="C47" s="898" t="s">
        <v>340</v>
      </c>
      <c r="D47" s="898"/>
      <c r="E47" s="246" t="e">
        <f ca="1">F47*'P-Escalation'!$M$32</f>
        <v>#DIV/0!</v>
      </c>
      <c r="F47" s="158">
        <f t="shared" si="4"/>
        <v>0</v>
      </c>
      <c r="G47" s="128"/>
      <c r="H47" s="152"/>
      <c r="I47" s="152"/>
      <c r="J47" s="152"/>
      <c r="K47" s="152"/>
      <c r="L47" s="152"/>
      <c r="M47" s="152"/>
      <c r="N47" s="152"/>
      <c r="O47" s="152"/>
      <c r="P47" s="152"/>
      <c r="Q47" s="152"/>
      <c r="R47" s="763"/>
      <c r="T47" s="160"/>
    </row>
    <row r="48" spans="1:20" ht="16.149999999999999" customHeight="1">
      <c r="A48" s="763"/>
      <c r="B48" s="898" t="s">
        <v>341</v>
      </c>
      <c r="C48" s="898" t="s">
        <v>342</v>
      </c>
      <c r="D48" s="898"/>
      <c r="E48" s="246" t="e">
        <f ca="1">F48*'P-Escalation'!$M$32</f>
        <v>#DIV/0!</v>
      </c>
      <c r="F48" s="158">
        <f t="shared" si="4"/>
        <v>0</v>
      </c>
      <c r="G48" s="128"/>
      <c r="H48" s="152"/>
      <c r="I48" s="152"/>
      <c r="J48" s="152"/>
      <c r="K48" s="152"/>
      <c r="L48" s="152"/>
      <c r="M48" s="152"/>
      <c r="N48" s="152"/>
      <c r="O48" s="152"/>
      <c r="P48" s="152"/>
      <c r="Q48" s="152"/>
      <c r="R48" s="763"/>
      <c r="T48" s="153"/>
    </row>
    <row r="49" spans="1:37" ht="16.149999999999999" customHeight="1">
      <c r="A49" s="763"/>
      <c r="B49" s="898" t="s">
        <v>343</v>
      </c>
      <c r="C49" s="898"/>
      <c r="D49" s="898"/>
      <c r="E49" s="246" t="e">
        <f ca="1">F49*'P-Escalation'!$M$32</f>
        <v>#DIV/0!</v>
      </c>
      <c r="F49" s="158">
        <f t="shared" si="4"/>
        <v>0</v>
      </c>
      <c r="G49" s="128"/>
      <c r="H49" s="152"/>
      <c r="I49" s="152"/>
      <c r="J49" s="152"/>
      <c r="K49" s="152"/>
      <c r="L49" s="152"/>
      <c r="M49" s="152"/>
      <c r="N49" s="152"/>
      <c r="O49" s="152"/>
      <c r="P49" s="152"/>
      <c r="Q49" s="152"/>
      <c r="R49" s="763"/>
      <c r="T49" s="160"/>
      <c r="U49" s="763"/>
      <c r="V49" s="763"/>
      <c r="W49" s="763"/>
      <c r="X49" s="763"/>
      <c r="Y49" s="763"/>
      <c r="Z49" s="763"/>
      <c r="AA49" s="763"/>
      <c r="AB49" s="763"/>
      <c r="AC49" s="763"/>
      <c r="AD49" s="763"/>
      <c r="AE49" s="763"/>
      <c r="AF49" s="763"/>
      <c r="AG49" s="763"/>
      <c r="AH49" s="763"/>
      <c r="AI49" s="763"/>
      <c r="AJ49" s="763"/>
      <c r="AK49" s="763"/>
    </row>
    <row r="50" spans="1:37" ht="16.149999999999999" customHeight="1">
      <c r="A50" s="763"/>
      <c r="B50" s="898" t="s">
        <v>344</v>
      </c>
      <c r="C50" s="898"/>
      <c r="D50" s="898"/>
      <c r="E50" s="246" t="e">
        <f ca="1">F50*'P-Escalation'!$M$32</f>
        <v>#DIV/0!</v>
      </c>
      <c r="F50" s="158">
        <f t="shared" si="4"/>
        <v>0</v>
      </c>
      <c r="G50" s="128"/>
      <c r="H50" s="152"/>
      <c r="I50" s="152"/>
      <c r="J50" s="152"/>
      <c r="K50" s="152"/>
      <c r="L50" s="152"/>
      <c r="M50" s="152"/>
      <c r="N50" s="152"/>
      <c r="O50" s="152"/>
      <c r="P50" s="152"/>
      <c r="Q50" s="152"/>
      <c r="R50" s="763"/>
      <c r="T50" s="160"/>
      <c r="U50" s="763"/>
      <c r="V50" s="763"/>
      <c r="W50" s="763"/>
      <c r="X50" s="763"/>
      <c r="Y50" s="763"/>
      <c r="Z50" s="763"/>
      <c r="AA50" s="763"/>
      <c r="AB50" s="763"/>
      <c r="AC50" s="763"/>
      <c r="AD50" s="763"/>
      <c r="AE50" s="763"/>
      <c r="AF50" s="763"/>
      <c r="AG50" s="763"/>
      <c r="AH50" s="763"/>
      <c r="AI50" s="763"/>
      <c r="AJ50" s="763"/>
      <c r="AK50" s="763"/>
    </row>
    <row r="51" spans="1:37" ht="16.149999999999999" customHeight="1">
      <c r="A51" s="763"/>
      <c r="B51" s="898" t="s">
        <v>345</v>
      </c>
      <c r="C51" s="898"/>
      <c r="D51" s="898"/>
      <c r="E51" s="246" t="e">
        <f ca="1">F51*'P-Escalation'!$M$32</f>
        <v>#DIV/0!</v>
      </c>
      <c r="F51" s="158">
        <f t="shared" si="4"/>
        <v>0</v>
      </c>
      <c r="G51" s="128"/>
      <c r="H51" s="152"/>
      <c r="I51" s="152"/>
      <c r="J51" s="152"/>
      <c r="K51" s="152"/>
      <c r="L51" s="152"/>
      <c r="M51" s="152"/>
      <c r="N51" s="152"/>
      <c r="O51" s="152"/>
      <c r="P51" s="152"/>
      <c r="Q51" s="152"/>
      <c r="R51" s="763"/>
      <c r="T51" s="153"/>
      <c r="U51" s="763"/>
      <c r="V51" s="763"/>
      <c r="W51" s="763"/>
      <c r="X51" s="763"/>
      <c r="Y51" s="763"/>
      <c r="Z51" s="763"/>
      <c r="AA51" s="763"/>
      <c r="AB51" s="763"/>
      <c r="AC51" s="763"/>
      <c r="AD51" s="763"/>
      <c r="AE51" s="763"/>
      <c r="AF51" s="763"/>
      <c r="AG51" s="763"/>
      <c r="AH51" s="763"/>
      <c r="AI51" s="763"/>
      <c r="AJ51" s="763"/>
      <c r="AK51" s="763"/>
    </row>
    <row r="52" spans="1:37" ht="16.149999999999999" customHeight="1">
      <c r="A52" s="763"/>
      <c r="B52" s="898" t="s">
        <v>346</v>
      </c>
      <c r="C52" s="898"/>
      <c r="D52" s="898"/>
      <c r="E52" s="246" t="e">
        <f ca="1">F52*'P-Escalation'!$M$32</f>
        <v>#DIV/0!</v>
      </c>
      <c r="F52" s="158"/>
      <c r="G52" s="128"/>
      <c r="H52" s="158"/>
      <c r="I52" s="158"/>
      <c r="J52" s="158"/>
      <c r="K52" s="158"/>
      <c r="L52" s="158"/>
      <c r="M52" s="158"/>
      <c r="N52" s="158"/>
      <c r="O52" s="158"/>
      <c r="P52" s="158"/>
      <c r="Q52" s="158"/>
      <c r="R52" s="763"/>
      <c r="T52" s="153"/>
      <c r="U52" s="763"/>
      <c r="V52" s="763"/>
      <c r="W52" s="763"/>
      <c r="X52" s="763"/>
      <c r="Y52" s="763"/>
      <c r="Z52" s="763"/>
      <c r="AA52" s="763"/>
      <c r="AB52" s="763"/>
      <c r="AC52" s="763"/>
      <c r="AD52" s="763"/>
      <c r="AE52" s="763"/>
      <c r="AF52" s="763"/>
      <c r="AG52" s="763"/>
      <c r="AH52" s="763"/>
      <c r="AI52" s="763"/>
      <c r="AJ52" s="763"/>
      <c r="AK52" s="763"/>
    </row>
    <row r="53" spans="1:37" ht="16.149999999999999" customHeight="1">
      <c r="A53" s="763"/>
      <c r="B53" s="773"/>
      <c r="C53" s="899" t="s">
        <v>347</v>
      </c>
      <c r="D53" s="899"/>
      <c r="E53" s="246" t="e">
        <f ca="1">F53*'P-Escalation'!$M$32</f>
        <v>#DIV/0!</v>
      </c>
      <c r="F53" s="158">
        <f>SUM(H53:Q53)</f>
        <v>0</v>
      </c>
      <c r="G53" s="128"/>
      <c r="H53" s="152"/>
      <c r="I53" s="152"/>
      <c r="J53" s="152"/>
      <c r="K53" s="152"/>
      <c r="L53" s="152"/>
      <c r="M53" s="152"/>
      <c r="N53" s="152"/>
      <c r="O53" s="152"/>
      <c r="P53" s="152"/>
      <c r="Q53" s="152"/>
      <c r="R53" s="763"/>
      <c r="T53" s="160"/>
      <c r="U53" s="763"/>
      <c r="V53" s="763"/>
      <c r="W53" s="763"/>
      <c r="X53" s="763"/>
      <c r="Y53" s="763"/>
      <c r="Z53" s="763"/>
      <c r="AA53" s="763"/>
      <c r="AB53" s="763"/>
      <c r="AC53" s="763"/>
      <c r="AD53" s="763"/>
      <c r="AE53" s="763"/>
      <c r="AF53" s="763"/>
      <c r="AG53" s="763"/>
      <c r="AH53" s="763"/>
      <c r="AI53" s="763"/>
      <c r="AJ53" s="763"/>
      <c r="AK53" s="763"/>
    </row>
    <row r="54" spans="1:37" ht="16.149999999999999" customHeight="1" thickBot="1">
      <c r="A54" s="763"/>
      <c r="B54" s="773"/>
      <c r="C54" s="877"/>
      <c r="D54" s="878"/>
      <c r="E54" s="246" t="e">
        <f ca="1">F54*'P-Escalation'!$M$32</f>
        <v>#DIV/0!</v>
      </c>
      <c r="F54" s="158">
        <f>SUM(H54:Q54)</f>
        <v>0</v>
      </c>
      <c r="G54" s="128"/>
      <c r="H54" s="152"/>
      <c r="I54" s="152"/>
      <c r="J54" s="152"/>
      <c r="K54" s="152"/>
      <c r="L54" s="152"/>
      <c r="M54" s="152"/>
      <c r="N54" s="152"/>
      <c r="O54" s="152"/>
      <c r="P54" s="152"/>
      <c r="Q54" s="152"/>
      <c r="R54" s="763"/>
      <c r="T54" s="153"/>
      <c r="U54" s="763"/>
      <c r="V54" s="763"/>
      <c r="W54" s="763"/>
      <c r="X54" s="763"/>
      <c r="Y54" s="763"/>
      <c r="Z54" s="763"/>
      <c r="AA54" s="763"/>
      <c r="AB54" s="763"/>
      <c r="AC54" s="763"/>
      <c r="AD54" s="763"/>
      <c r="AE54" s="763"/>
      <c r="AF54" s="763"/>
      <c r="AG54" s="763"/>
      <c r="AH54" s="763"/>
      <c r="AI54" s="763"/>
      <c r="AJ54" s="763"/>
      <c r="AK54" s="763"/>
    </row>
    <row r="55" spans="1:37" ht="16.149999999999999" customHeight="1" thickBot="1">
      <c r="A55" s="763"/>
      <c r="B55" s="882" t="s">
        <v>348</v>
      </c>
      <c r="C55" s="896"/>
      <c r="D55" s="897"/>
      <c r="E55" s="243" t="e">
        <f ca="1">SUM(E37:E54)</f>
        <v>#DIV/0!</v>
      </c>
      <c r="F55" s="156">
        <f>SUM(H55:Q55)</f>
        <v>0</v>
      </c>
      <c r="G55" s="128"/>
      <c r="H55" s="157">
        <f t="shared" ref="H55:Q55" si="5">SUM(H37:H54)</f>
        <v>0</v>
      </c>
      <c r="I55" s="157">
        <f t="shared" si="5"/>
        <v>0</v>
      </c>
      <c r="J55" s="157">
        <f t="shared" si="5"/>
        <v>0</v>
      </c>
      <c r="K55" s="157">
        <f t="shared" si="5"/>
        <v>0</v>
      </c>
      <c r="L55" s="157">
        <f t="shared" si="5"/>
        <v>0</v>
      </c>
      <c r="M55" s="157">
        <f t="shared" si="5"/>
        <v>0</v>
      </c>
      <c r="N55" s="157">
        <f t="shared" si="5"/>
        <v>0</v>
      </c>
      <c r="O55" s="157">
        <f t="shared" si="5"/>
        <v>0</v>
      </c>
      <c r="P55" s="157">
        <f t="shared" si="5"/>
        <v>0</v>
      </c>
      <c r="Q55" s="157">
        <f t="shared" si="5"/>
        <v>0</v>
      </c>
      <c r="R55" s="763"/>
      <c r="S55" s="147" t="e">
        <f>F55/F12</f>
        <v>#DIV/0!</v>
      </c>
      <c r="T55" s="153"/>
      <c r="U55" s="763"/>
      <c r="V55" s="763"/>
      <c r="W55" s="763"/>
      <c r="X55" s="763"/>
      <c r="Y55" s="763"/>
      <c r="Z55" s="763"/>
      <c r="AA55" s="763"/>
      <c r="AB55" s="763"/>
      <c r="AC55" s="763"/>
      <c r="AD55" s="763"/>
      <c r="AE55" s="763"/>
      <c r="AF55" s="763"/>
      <c r="AG55" s="763"/>
      <c r="AH55" s="763"/>
      <c r="AI55" s="763"/>
      <c r="AJ55" s="763"/>
      <c r="AK55" s="763"/>
    </row>
    <row r="56" spans="1:37" ht="16.149999999999999" customHeight="1">
      <c r="A56" s="763"/>
      <c r="B56" s="890"/>
      <c r="C56" s="901"/>
      <c r="D56" s="901"/>
      <c r="E56" s="242"/>
      <c r="F56" s="151"/>
      <c r="G56" s="128"/>
      <c r="H56" s="151"/>
      <c r="I56" s="151"/>
      <c r="J56" s="151"/>
      <c r="K56" s="151"/>
      <c r="L56" s="151"/>
      <c r="M56" s="151"/>
      <c r="N56" s="151"/>
      <c r="O56" s="151"/>
      <c r="P56" s="151"/>
      <c r="Q56" s="151"/>
      <c r="R56" s="763"/>
      <c r="U56" s="763"/>
      <c r="V56" s="763"/>
      <c r="W56" s="763"/>
      <c r="X56" s="763"/>
      <c r="Y56" s="763"/>
      <c r="Z56" s="763"/>
      <c r="AA56" s="763"/>
      <c r="AB56" s="763"/>
      <c r="AC56" s="763"/>
      <c r="AD56" s="763"/>
      <c r="AE56" s="763"/>
      <c r="AF56" s="763"/>
      <c r="AG56" s="763"/>
      <c r="AH56" s="763"/>
      <c r="AI56" s="763"/>
      <c r="AJ56" s="763"/>
      <c r="AK56" s="763"/>
    </row>
    <row r="57" spans="1:37" ht="16.149999999999999" customHeight="1">
      <c r="A57" s="890" t="s">
        <v>349</v>
      </c>
      <c r="B57" s="863"/>
      <c r="C57" s="863"/>
      <c r="D57" s="863"/>
      <c r="E57" s="244"/>
      <c r="F57" s="777"/>
      <c r="G57" s="128"/>
      <c r="H57" s="151"/>
      <c r="I57" s="151"/>
      <c r="J57" s="151"/>
      <c r="K57" s="151"/>
      <c r="L57" s="151"/>
      <c r="M57" s="151"/>
      <c r="N57" s="151"/>
      <c r="O57" s="151"/>
      <c r="P57" s="151"/>
      <c r="Q57" s="151"/>
      <c r="R57" s="763"/>
      <c r="U57" s="763"/>
      <c r="V57" s="763"/>
      <c r="W57" s="763"/>
      <c r="X57" s="763"/>
      <c r="Y57" s="763"/>
      <c r="Z57" s="763"/>
      <c r="AA57" s="763"/>
      <c r="AB57" s="763"/>
      <c r="AC57" s="763"/>
      <c r="AD57" s="763"/>
      <c r="AE57" s="763"/>
      <c r="AF57" s="763"/>
      <c r="AG57" s="763"/>
      <c r="AH57" s="763"/>
      <c r="AI57" s="763"/>
      <c r="AJ57" s="763"/>
      <c r="AK57" s="763"/>
    </row>
    <row r="58" spans="1:37" ht="16.149999999999999" customHeight="1">
      <c r="A58" s="763"/>
      <c r="B58" s="885" t="s">
        <v>350</v>
      </c>
      <c r="C58" s="900"/>
      <c r="D58" s="900"/>
      <c r="E58" s="247"/>
      <c r="F58" s="158"/>
      <c r="G58" s="128"/>
      <c r="H58" s="161"/>
      <c r="I58" s="161"/>
      <c r="J58" s="161"/>
      <c r="K58" s="161"/>
      <c r="L58" s="161"/>
      <c r="M58" s="161"/>
      <c r="N58" s="161"/>
      <c r="O58" s="161"/>
      <c r="P58" s="161"/>
      <c r="Q58" s="161"/>
      <c r="R58" s="763"/>
      <c r="U58" s="763"/>
      <c r="V58" s="763"/>
      <c r="W58" s="763"/>
      <c r="X58" s="763"/>
      <c r="Y58" s="763"/>
      <c r="Z58" s="763"/>
      <c r="AA58" s="763"/>
      <c r="AB58" s="763"/>
      <c r="AC58" s="763"/>
      <c r="AD58" s="763"/>
      <c r="AE58" s="763"/>
      <c r="AF58" s="763"/>
      <c r="AG58" s="763"/>
      <c r="AH58" s="763"/>
      <c r="AI58" s="763"/>
      <c r="AJ58" s="763"/>
      <c r="AK58" s="763"/>
    </row>
    <row r="59" spans="1:37" ht="16.149999999999999" customHeight="1">
      <c r="A59" s="763"/>
      <c r="B59" s="773"/>
      <c r="C59" s="877"/>
      <c r="D59" s="878"/>
      <c r="E59" s="246" t="e">
        <f ca="1">F59*'P-Escalation'!M38</f>
        <v>#VALUE!</v>
      </c>
      <c r="F59" s="158">
        <f>SUM(H59:Q59)</f>
        <v>0</v>
      </c>
      <c r="G59" s="128"/>
      <c r="H59" s="152"/>
      <c r="I59" s="152"/>
      <c r="J59" s="152"/>
      <c r="K59" s="152"/>
      <c r="L59" s="152"/>
      <c r="M59" s="152"/>
      <c r="N59" s="152"/>
      <c r="O59" s="152"/>
      <c r="P59" s="152"/>
      <c r="Q59" s="152"/>
      <c r="R59" s="763"/>
      <c r="T59" s="153"/>
      <c r="U59" s="763"/>
      <c r="V59" s="763"/>
      <c r="W59" s="763"/>
      <c r="X59" s="763"/>
      <c r="Y59" s="763"/>
      <c r="Z59" s="763"/>
      <c r="AA59" s="763"/>
      <c r="AB59" s="763"/>
      <c r="AC59" s="763"/>
      <c r="AD59" s="763"/>
      <c r="AE59" s="763"/>
      <c r="AF59" s="763"/>
      <c r="AG59" s="763"/>
      <c r="AH59" s="763"/>
      <c r="AI59" s="763"/>
      <c r="AJ59" s="763"/>
      <c r="AK59" s="763"/>
    </row>
    <row r="60" spans="1:37" ht="16.149999999999999" customHeight="1">
      <c r="A60" s="763"/>
      <c r="B60" s="885" t="s">
        <v>351</v>
      </c>
      <c r="C60" s="900"/>
      <c r="D60" s="900"/>
      <c r="E60" s="247"/>
      <c r="F60" s="158"/>
      <c r="G60" s="128"/>
      <c r="H60" s="162"/>
      <c r="I60" s="162"/>
      <c r="J60" s="162"/>
      <c r="K60" s="162"/>
      <c r="L60" s="162"/>
      <c r="M60" s="162"/>
      <c r="N60" s="162"/>
      <c r="O60" s="162"/>
      <c r="P60" s="162"/>
      <c r="Q60" s="162"/>
      <c r="R60" s="763"/>
      <c r="U60" s="763"/>
      <c r="V60" s="763"/>
      <c r="W60" s="763"/>
      <c r="X60" s="763"/>
      <c r="Y60" s="763"/>
      <c r="Z60" s="763"/>
      <c r="AA60" s="763"/>
      <c r="AB60" s="763"/>
      <c r="AC60" s="763"/>
      <c r="AD60" s="763"/>
      <c r="AE60" s="763"/>
      <c r="AF60" s="763"/>
      <c r="AG60" s="763"/>
      <c r="AH60" s="763"/>
      <c r="AI60" s="763"/>
      <c r="AJ60" s="763"/>
      <c r="AK60" s="763"/>
    </row>
    <row r="61" spans="1:37" ht="16.149999999999999" customHeight="1" thickBot="1">
      <c r="A61" s="763"/>
      <c r="B61" s="773"/>
      <c r="C61" s="877"/>
      <c r="D61" s="878"/>
      <c r="E61" s="246" t="e">
        <f ca="1">F61*'P-Escalation'!M38</f>
        <v>#VALUE!</v>
      </c>
      <c r="F61" s="158">
        <f>SUM(H61:Q61)</f>
        <v>0</v>
      </c>
      <c r="G61" s="128"/>
      <c r="H61" s="152"/>
      <c r="I61" s="152"/>
      <c r="J61" s="152"/>
      <c r="K61" s="152"/>
      <c r="L61" s="152"/>
      <c r="M61" s="152"/>
      <c r="N61" s="152"/>
      <c r="O61" s="152"/>
      <c r="P61" s="152"/>
      <c r="Q61" s="152"/>
      <c r="R61" s="763"/>
      <c r="T61" s="160"/>
      <c r="U61" s="763"/>
      <c r="V61" s="763"/>
      <c r="W61" s="763"/>
      <c r="X61" s="763"/>
      <c r="Y61" s="763"/>
      <c r="Z61" s="763"/>
      <c r="AA61" s="763"/>
      <c r="AB61" s="763"/>
      <c r="AC61" s="763"/>
      <c r="AD61" s="763"/>
      <c r="AE61" s="763"/>
      <c r="AF61" s="763"/>
      <c r="AG61" s="763"/>
      <c r="AH61" s="763"/>
      <c r="AI61" s="763"/>
      <c r="AJ61" s="763"/>
      <c r="AK61" s="763"/>
    </row>
    <row r="62" spans="1:37" ht="16.149999999999999" customHeight="1" thickBot="1">
      <c r="A62" s="763"/>
      <c r="B62" s="882" t="s">
        <v>352</v>
      </c>
      <c r="C62" s="896"/>
      <c r="D62" s="897"/>
      <c r="E62" s="243" t="e">
        <f ca="1">SUM(E58:E61)</f>
        <v>#VALUE!</v>
      </c>
      <c r="F62" s="156">
        <f>SUM(H62:Q62)</f>
        <v>0</v>
      </c>
      <c r="G62" s="128"/>
      <c r="H62" s="157">
        <f t="shared" ref="H62:Q62" si="6">SUM(H58:H61)</f>
        <v>0</v>
      </c>
      <c r="I62" s="157">
        <f t="shared" si="6"/>
        <v>0</v>
      </c>
      <c r="J62" s="157">
        <f t="shared" si="6"/>
        <v>0</v>
      </c>
      <c r="K62" s="157">
        <f t="shared" si="6"/>
        <v>0</v>
      </c>
      <c r="L62" s="157">
        <f t="shared" si="6"/>
        <v>0</v>
      </c>
      <c r="M62" s="157">
        <f t="shared" si="6"/>
        <v>0</v>
      </c>
      <c r="N62" s="157">
        <f t="shared" si="6"/>
        <v>0</v>
      </c>
      <c r="O62" s="157">
        <f t="shared" si="6"/>
        <v>0</v>
      </c>
      <c r="P62" s="157">
        <f t="shared" si="6"/>
        <v>0</v>
      </c>
      <c r="Q62" s="157">
        <f t="shared" si="6"/>
        <v>0</v>
      </c>
      <c r="R62" s="763"/>
      <c r="S62" s="179"/>
      <c r="T62" s="153"/>
      <c r="U62" s="763"/>
      <c r="V62" s="763"/>
      <c r="W62" s="763"/>
      <c r="X62" s="763"/>
      <c r="Y62" s="763"/>
      <c r="Z62" s="763"/>
      <c r="AA62" s="763"/>
      <c r="AB62" s="763"/>
      <c r="AC62" s="763"/>
      <c r="AD62" s="763"/>
      <c r="AE62" s="763"/>
      <c r="AF62" s="763"/>
      <c r="AG62" s="763"/>
      <c r="AH62" s="763"/>
      <c r="AI62" s="763"/>
      <c r="AJ62" s="763"/>
      <c r="AK62" s="763"/>
    </row>
    <row r="63" spans="1:37" ht="16.149999999999999" customHeight="1">
      <c r="A63" s="763"/>
      <c r="B63" s="117"/>
      <c r="C63" s="117"/>
      <c r="D63" s="117"/>
      <c r="E63" s="248"/>
      <c r="F63" s="117"/>
      <c r="H63" s="117"/>
      <c r="I63" s="117"/>
      <c r="J63" s="117"/>
      <c r="K63" s="117"/>
      <c r="L63" s="117"/>
      <c r="M63" s="117"/>
      <c r="N63" s="763"/>
      <c r="O63" s="763"/>
      <c r="P63" s="763"/>
      <c r="Q63" s="763"/>
      <c r="R63" s="763"/>
      <c r="U63" s="763"/>
      <c r="V63" s="763"/>
      <c r="W63" s="763"/>
      <c r="X63" s="763"/>
      <c r="Y63" s="763"/>
      <c r="Z63" s="763"/>
      <c r="AA63" s="763"/>
      <c r="AB63" s="763"/>
      <c r="AC63" s="763"/>
      <c r="AD63" s="763"/>
      <c r="AE63" s="763"/>
      <c r="AF63" s="763"/>
      <c r="AG63" s="763"/>
      <c r="AH63" s="763"/>
      <c r="AI63" s="763"/>
      <c r="AJ63" s="763"/>
      <c r="AK63" s="763"/>
    </row>
    <row r="64" spans="1:37" ht="16.149999999999999" customHeight="1" thickBot="1">
      <c r="A64" s="890" t="s">
        <v>105</v>
      </c>
      <c r="B64" s="863"/>
      <c r="C64" s="863"/>
      <c r="D64" s="863"/>
      <c r="E64" s="244"/>
      <c r="F64" s="777"/>
      <c r="H64" s="777"/>
      <c r="I64" s="777"/>
      <c r="J64" s="777"/>
      <c r="K64" s="777"/>
      <c r="L64" s="777"/>
      <c r="M64" s="777"/>
      <c r="N64" s="777"/>
      <c r="O64" s="777"/>
      <c r="P64" s="777"/>
      <c r="Q64" s="777"/>
      <c r="R64" s="763"/>
      <c r="U64" s="763"/>
      <c r="V64" s="763"/>
      <c r="W64" s="763"/>
      <c r="X64" s="763"/>
      <c r="Y64" s="763"/>
      <c r="Z64" s="763"/>
      <c r="AA64" s="763"/>
      <c r="AB64" s="763">
        <v>1</v>
      </c>
      <c r="AC64" s="763">
        <v>2</v>
      </c>
      <c r="AD64" s="763">
        <v>3</v>
      </c>
      <c r="AE64" s="763">
        <v>4</v>
      </c>
      <c r="AF64" s="763">
        <v>5</v>
      </c>
      <c r="AG64" s="763">
        <v>6</v>
      </c>
      <c r="AH64" s="763">
        <v>7</v>
      </c>
      <c r="AI64" s="763">
        <v>8</v>
      </c>
      <c r="AJ64" s="763">
        <v>9</v>
      </c>
      <c r="AK64" s="763">
        <v>10</v>
      </c>
    </row>
    <row r="65" spans="1:37" ht="16.149999999999999" customHeight="1" thickBot="1">
      <c r="A65" s="763"/>
      <c r="B65" s="882" t="s">
        <v>353</v>
      </c>
      <c r="C65" s="896"/>
      <c r="D65" s="897"/>
      <c r="E65" s="249" t="e">
        <f ca="1">F65*'P-Escalation'!M44</f>
        <v>#VALUE!</v>
      </c>
      <c r="F65" s="156" t="str">
        <f>IF(H12+I12+J12+K12+L12+M12+N12+O12+Q12=0,"",SUM(H65:Q65))</f>
        <v/>
      </c>
      <c r="H65" s="158">
        <f>AB65</f>
        <v>0</v>
      </c>
      <c r="I65" s="158">
        <f t="shared" ref="I65:Q65" si="7">AC65</f>
        <v>0</v>
      </c>
      <c r="J65" s="158">
        <f t="shared" si="7"/>
        <v>0</v>
      </c>
      <c r="K65" s="158">
        <f t="shared" si="7"/>
        <v>0</v>
      </c>
      <c r="L65" s="158">
        <f t="shared" si="7"/>
        <v>0</v>
      </c>
      <c r="M65" s="158">
        <f t="shared" si="7"/>
        <v>0</v>
      </c>
      <c r="N65" s="158">
        <f t="shared" si="7"/>
        <v>0</v>
      </c>
      <c r="O65" s="158">
        <f t="shared" si="7"/>
        <v>0</v>
      </c>
      <c r="P65" s="158">
        <f t="shared" si="7"/>
        <v>0</v>
      </c>
      <c r="Q65" s="158">
        <f t="shared" si="7"/>
        <v>0</v>
      </c>
      <c r="R65" s="763"/>
      <c r="S65" s="147" t="e">
        <f>F65/F12</f>
        <v>#VALUE!</v>
      </c>
      <c r="T65" s="153"/>
      <c r="U65" s="763"/>
      <c r="V65" s="763"/>
      <c r="W65" s="763"/>
      <c r="X65" s="763"/>
      <c r="Y65" s="763"/>
      <c r="Z65" s="763"/>
      <c r="AA65" s="763"/>
      <c r="AB65" s="763">
        <f>H12*IF(H12&gt;50000000,0.02,IF(H12&lt;5000000,0.05,(0.02+((50000000-H12)/45000000)*0.03)))</f>
        <v>0</v>
      </c>
      <c r="AC65" s="763">
        <f t="shared" ref="AC65:AK65" si="8">I12*IF(I12&gt;50000000,0.02,IF(I12&lt;5000000,0.05,(0.02+((50000000-I12)/45000000)*0.03)))</f>
        <v>0</v>
      </c>
      <c r="AD65" s="763">
        <f t="shared" si="8"/>
        <v>0</v>
      </c>
      <c r="AE65" s="763">
        <f t="shared" si="8"/>
        <v>0</v>
      </c>
      <c r="AF65" s="763">
        <f t="shared" si="8"/>
        <v>0</v>
      </c>
      <c r="AG65" s="763">
        <f t="shared" si="8"/>
        <v>0</v>
      </c>
      <c r="AH65" s="763">
        <f t="shared" si="8"/>
        <v>0</v>
      </c>
      <c r="AI65" s="763">
        <f t="shared" si="8"/>
        <v>0</v>
      </c>
      <c r="AJ65" s="763">
        <f t="shared" si="8"/>
        <v>0</v>
      </c>
      <c r="AK65" s="763">
        <f t="shared" si="8"/>
        <v>0</v>
      </c>
    </row>
    <row r="66" spans="1:37" ht="16.149999999999999" customHeight="1">
      <c r="A66" s="763"/>
      <c r="B66" s="763"/>
      <c r="C66" s="763"/>
      <c r="D66" s="763"/>
      <c r="E66" s="223"/>
      <c r="F66" s="763"/>
      <c r="H66" s="163"/>
      <c r="I66" s="163"/>
      <c r="J66" s="163"/>
      <c r="K66" s="163"/>
      <c r="L66" s="163"/>
      <c r="M66" s="163"/>
      <c r="N66" s="163"/>
      <c r="O66" s="163"/>
      <c r="P66" s="163"/>
      <c r="Q66" s="163"/>
      <c r="R66" s="763"/>
      <c r="U66" s="763"/>
      <c r="V66" s="763"/>
      <c r="W66" s="763"/>
      <c r="X66" s="763"/>
      <c r="Y66" s="763"/>
      <c r="Z66" s="763"/>
      <c r="AA66" s="763"/>
      <c r="AB66" s="763"/>
      <c r="AC66" s="763"/>
      <c r="AD66" s="763"/>
      <c r="AE66" s="763"/>
      <c r="AF66" s="763"/>
      <c r="AG66" s="763"/>
      <c r="AH66" s="763"/>
      <c r="AI66" s="763"/>
      <c r="AJ66" s="763"/>
      <c r="AK66" s="763"/>
    </row>
    <row r="67" spans="1:37" ht="16.149999999999999" customHeight="1" thickBot="1">
      <c r="A67" s="890" t="s">
        <v>354</v>
      </c>
      <c r="B67" s="863"/>
      <c r="C67" s="863"/>
      <c r="D67" s="863"/>
      <c r="E67" s="223"/>
      <c r="F67" s="763"/>
      <c r="H67" s="777"/>
      <c r="I67" s="777"/>
      <c r="J67" s="777"/>
      <c r="K67" s="777"/>
      <c r="L67" s="777"/>
      <c r="M67" s="777"/>
      <c r="N67" s="777"/>
      <c r="O67" s="777"/>
      <c r="P67" s="777"/>
      <c r="Q67" s="777"/>
      <c r="R67" s="763"/>
      <c r="U67" s="763"/>
      <c r="V67" s="763"/>
      <c r="W67" s="763"/>
      <c r="X67" s="763"/>
      <c r="Y67" s="763"/>
      <c r="Z67" s="763"/>
      <c r="AA67" s="763"/>
      <c r="AB67" s="763"/>
      <c r="AC67" s="763"/>
      <c r="AD67" s="763"/>
      <c r="AE67" s="763"/>
      <c r="AF67" s="763"/>
      <c r="AG67" s="763"/>
      <c r="AH67" s="763"/>
      <c r="AI67" s="763"/>
      <c r="AJ67" s="763"/>
      <c r="AK67" s="763"/>
    </row>
    <row r="68" spans="1:37" ht="16.149999999999999" customHeight="1" thickBot="1">
      <c r="A68" s="763"/>
      <c r="B68" s="882" t="s">
        <v>355</v>
      </c>
      <c r="C68" s="896"/>
      <c r="D68" s="897"/>
      <c r="E68" s="243">
        <f>E8</f>
        <v>0</v>
      </c>
      <c r="F68" s="156" t="str">
        <f>IF(F12=0,"",SUM(H68:Q68))</f>
        <v/>
      </c>
      <c r="H68" s="157">
        <f t="shared" ref="H68:Q68" si="9">H8</f>
        <v>0</v>
      </c>
      <c r="I68" s="157">
        <f t="shared" si="9"/>
        <v>0</v>
      </c>
      <c r="J68" s="157">
        <f t="shared" si="9"/>
        <v>0</v>
      </c>
      <c r="K68" s="157">
        <f t="shared" si="9"/>
        <v>0</v>
      </c>
      <c r="L68" s="157">
        <f t="shared" si="9"/>
        <v>0</v>
      </c>
      <c r="M68" s="157">
        <f t="shared" si="9"/>
        <v>0</v>
      </c>
      <c r="N68" s="157">
        <f t="shared" si="9"/>
        <v>0</v>
      </c>
      <c r="O68" s="157">
        <f t="shared" si="9"/>
        <v>0</v>
      </c>
      <c r="P68" s="157">
        <f t="shared" si="9"/>
        <v>0</v>
      </c>
      <c r="Q68" s="157">
        <f t="shared" si="9"/>
        <v>0</v>
      </c>
      <c r="R68" s="763"/>
      <c r="T68" s="153"/>
      <c r="U68" s="763"/>
      <c r="V68" s="763"/>
      <c r="W68" s="763"/>
      <c r="X68" s="763"/>
      <c r="Y68" s="763"/>
      <c r="Z68" s="763"/>
      <c r="AA68" s="763"/>
      <c r="AB68" s="763"/>
      <c r="AC68" s="763"/>
      <c r="AD68" s="763"/>
      <c r="AE68" s="763"/>
      <c r="AF68" s="763"/>
      <c r="AG68" s="763"/>
      <c r="AH68" s="763"/>
      <c r="AI68" s="763"/>
      <c r="AJ68" s="763"/>
      <c r="AK68" s="763"/>
    </row>
    <row r="69" spans="1:37" ht="16.149999999999999" customHeight="1" thickBot="1">
      <c r="A69" s="763"/>
      <c r="B69" s="882" t="s">
        <v>356</v>
      </c>
      <c r="C69" s="896"/>
      <c r="D69" s="897"/>
      <c r="E69" s="243" t="e">
        <f ca="1">E12</f>
        <v>#DIV/0!</v>
      </c>
      <c r="F69" s="156" t="str">
        <f>IF(F12=0,"",SUM(H69:Q69))</f>
        <v/>
      </c>
      <c r="H69" s="157">
        <f>H12</f>
        <v>0</v>
      </c>
      <c r="I69" s="157">
        <f t="shared" ref="I69:Q69" si="10">I12</f>
        <v>0</v>
      </c>
      <c r="J69" s="157">
        <f t="shared" si="10"/>
        <v>0</v>
      </c>
      <c r="K69" s="157">
        <f t="shared" si="10"/>
        <v>0</v>
      </c>
      <c r="L69" s="157">
        <f t="shared" si="10"/>
        <v>0</v>
      </c>
      <c r="M69" s="157">
        <f t="shared" si="10"/>
        <v>0</v>
      </c>
      <c r="N69" s="157">
        <f t="shared" si="10"/>
        <v>0</v>
      </c>
      <c r="O69" s="157">
        <f t="shared" si="10"/>
        <v>0</v>
      </c>
      <c r="P69" s="157">
        <f t="shared" si="10"/>
        <v>0</v>
      </c>
      <c r="Q69" s="157">
        <f t="shared" si="10"/>
        <v>0</v>
      </c>
      <c r="R69" s="763"/>
      <c r="T69" s="153"/>
      <c r="U69" s="763"/>
      <c r="V69" s="763"/>
      <c r="W69" s="763"/>
      <c r="X69" s="763"/>
      <c r="Y69" s="763"/>
      <c r="Z69" s="763"/>
      <c r="AA69" s="763"/>
      <c r="AB69" s="763"/>
      <c r="AC69" s="763"/>
      <c r="AD69" s="763"/>
      <c r="AE69" s="763"/>
      <c r="AF69" s="763"/>
      <c r="AG69" s="763"/>
      <c r="AH69" s="763"/>
      <c r="AI69" s="763"/>
      <c r="AJ69" s="763"/>
      <c r="AK69" s="763"/>
    </row>
    <row r="70" spans="1:37" ht="16.149999999999999" customHeight="1" thickBot="1">
      <c r="A70" s="763"/>
      <c r="B70" s="882" t="s">
        <v>357</v>
      </c>
      <c r="C70" s="896"/>
      <c r="D70" s="897"/>
      <c r="E70" s="243" t="e">
        <f ca="1">E29+E34+E55+E65</f>
        <v>#DIV/0!</v>
      </c>
      <c r="F70" s="156" t="str">
        <f>IF(F12=0,"",SUM(H70:Q70))</f>
        <v/>
      </c>
      <c r="H70" s="157">
        <f>H65+H55+H34+H29</f>
        <v>0</v>
      </c>
      <c r="I70" s="157">
        <f t="shared" ref="I70:Q70" si="11">I65+I55+I34+I29</f>
        <v>0</v>
      </c>
      <c r="J70" s="157">
        <f t="shared" si="11"/>
        <v>0</v>
      </c>
      <c r="K70" s="157">
        <f t="shared" si="11"/>
        <v>0</v>
      </c>
      <c r="L70" s="157">
        <f t="shared" si="11"/>
        <v>0</v>
      </c>
      <c r="M70" s="157">
        <f t="shared" si="11"/>
        <v>0</v>
      </c>
      <c r="N70" s="157">
        <f t="shared" si="11"/>
        <v>0</v>
      </c>
      <c r="O70" s="157">
        <f t="shared" si="11"/>
        <v>0</v>
      </c>
      <c r="P70" s="157">
        <f t="shared" si="11"/>
        <v>0</v>
      </c>
      <c r="Q70" s="157">
        <f t="shared" si="11"/>
        <v>0</v>
      </c>
      <c r="R70" s="763"/>
      <c r="S70" s="147" t="e">
        <f>F70/F12</f>
        <v>#VALUE!</v>
      </c>
      <c r="T70" s="153"/>
      <c r="U70" s="763"/>
      <c r="V70" s="763"/>
      <c r="W70" s="763"/>
      <c r="X70" s="763"/>
      <c r="Y70" s="763"/>
      <c r="Z70" s="763"/>
      <c r="AA70" s="763"/>
      <c r="AB70" s="763"/>
      <c r="AC70" s="763"/>
      <c r="AD70" s="763"/>
      <c r="AE70" s="763"/>
      <c r="AF70" s="763"/>
      <c r="AG70" s="763"/>
      <c r="AH70" s="763"/>
      <c r="AI70" s="763"/>
      <c r="AJ70" s="763"/>
      <c r="AK70" s="763"/>
    </row>
    <row r="71" spans="1:37" ht="16.149999999999999" customHeight="1" thickBot="1">
      <c r="A71" s="763"/>
      <c r="B71" s="770" t="s">
        <v>349</v>
      </c>
      <c r="C71" s="771"/>
      <c r="D71" s="772"/>
      <c r="E71" s="243" t="e">
        <f ca="1">E62</f>
        <v>#VALUE!</v>
      </c>
      <c r="F71" s="156" t="str">
        <f>IF(F12=0,"",SUM(H71:Q71))</f>
        <v/>
      </c>
      <c r="H71" s="157">
        <f>H62</f>
        <v>0</v>
      </c>
      <c r="I71" s="157">
        <f t="shared" ref="I71:Q71" si="12">I62</f>
        <v>0</v>
      </c>
      <c r="J71" s="157">
        <f t="shared" si="12"/>
        <v>0</v>
      </c>
      <c r="K71" s="157">
        <f t="shared" si="12"/>
        <v>0</v>
      </c>
      <c r="L71" s="157">
        <f t="shared" si="12"/>
        <v>0</v>
      </c>
      <c r="M71" s="157">
        <f t="shared" si="12"/>
        <v>0</v>
      </c>
      <c r="N71" s="157">
        <f t="shared" si="12"/>
        <v>0</v>
      </c>
      <c r="O71" s="157">
        <f t="shared" si="12"/>
        <v>0</v>
      </c>
      <c r="P71" s="157">
        <f t="shared" si="12"/>
        <v>0</v>
      </c>
      <c r="Q71" s="157">
        <f t="shared" si="12"/>
        <v>0</v>
      </c>
      <c r="R71" s="763"/>
      <c r="T71" s="153"/>
      <c r="U71" s="763"/>
      <c r="V71" s="763"/>
      <c r="W71" s="763"/>
      <c r="X71" s="763"/>
      <c r="Y71" s="763"/>
      <c r="Z71" s="763"/>
      <c r="AA71" s="763"/>
      <c r="AB71" s="763"/>
      <c r="AC71" s="763"/>
      <c r="AD71" s="763"/>
      <c r="AE71" s="763"/>
      <c r="AF71" s="763"/>
      <c r="AG71" s="763"/>
      <c r="AH71" s="763"/>
      <c r="AI71" s="763"/>
      <c r="AJ71" s="763"/>
      <c r="AK71" s="763"/>
    </row>
    <row r="72" spans="1:37" ht="16.149999999999999" customHeight="1" thickBot="1">
      <c r="A72" s="763"/>
      <c r="B72" s="882" t="s">
        <v>358</v>
      </c>
      <c r="C72" s="896"/>
      <c r="D72" s="897"/>
      <c r="E72" s="243" t="e">
        <f ca="1">SUM(E68:E71)</f>
        <v>#DIV/0!</v>
      </c>
      <c r="F72" s="156" t="str">
        <f>IF(F12=0,"",SUM(H72:Q72))</f>
        <v/>
      </c>
      <c r="H72" s="156">
        <f>SUM(H68:H71)</f>
        <v>0</v>
      </c>
      <c r="I72" s="156">
        <f t="shared" ref="I72:Q72" si="13">SUM(I68:I71)</f>
        <v>0</v>
      </c>
      <c r="J72" s="156">
        <f t="shared" si="13"/>
        <v>0</v>
      </c>
      <c r="K72" s="156">
        <f t="shared" si="13"/>
        <v>0</v>
      </c>
      <c r="L72" s="156">
        <f t="shared" si="13"/>
        <v>0</v>
      </c>
      <c r="M72" s="156">
        <f t="shared" si="13"/>
        <v>0</v>
      </c>
      <c r="N72" s="156">
        <f t="shared" si="13"/>
        <v>0</v>
      </c>
      <c r="O72" s="156">
        <f t="shared" si="13"/>
        <v>0</v>
      </c>
      <c r="P72" s="156">
        <f t="shared" si="13"/>
        <v>0</v>
      </c>
      <c r="Q72" s="156">
        <f t="shared" si="13"/>
        <v>0</v>
      </c>
      <c r="R72" s="763"/>
      <c r="S72" s="206" t="e">
        <f>F72/'P-Overview'!C39</f>
        <v>#VALUE!</v>
      </c>
      <c r="T72" s="153"/>
      <c r="U72" s="763"/>
      <c r="V72" s="763"/>
      <c r="W72" s="763"/>
      <c r="X72" s="763"/>
      <c r="Y72" s="763"/>
      <c r="Z72" s="763"/>
      <c r="AA72" s="763"/>
      <c r="AB72" s="763"/>
      <c r="AC72" s="763"/>
      <c r="AD72" s="763"/>
      <c r="AE72" s="763"/>
      <c r="AF72" s="763"/>
      <c r="AG72" s="763"/>
      <c r="AH72" s="763"/>
      <c r="AI72" s="763"/>
      <c r="AJ72" s="763"/>
      <c r="AK72" s="763"/>
    </row>
    <row r="73" spans="1:37" ht="16.149999999999999" customHeight="1">
      <c r="A73" s="763"/>
      <c r="B73" s="763"/>
      <c r="C73" s="763"/>
      <c r="D73" s="763"/>
      <c r="E73" s="763"/>
      <c r="F73" s="763"/>
      <c r="H73" s="763"/>
      <c r="I73" s="763"/>
      <c r="J73" s="763"/>
      <c r="K73" s="763"/>
      <c r="L73" s="763"/>
      <c r="M73" s="763"/>
      <c r="N73" s="763"/>
      <c r="O73" s="763"/>
      <c r="P73" s="763"/>
      <c r="Q73" s="763"/>
      <c r="R73" s="763"/>
      <c r="U73" s="763"/>
      <c r="V73" s="763"/>
      <c r="W73" s="763"/>
      <c r="X73" s="763"/>
      <c r="Y73" s="763"/>
      <c r="Z73" s="763"/>
      <c r="AA73" s="763"/>
      <c r="AB73" s="763"/>
      <c r="AC73" s="763"/>
      <c r="AD73" s="763"/>
      <c r="AE73" s="763"/>
      <c r="AF73" s="763"/>
      <c r="AG73" s="763"/>
      <c r="AH73" s="763"/>
      <c r="AI73" s="763"/>
      <c r="AJ73" s="763"/>
      <c r="AK73" s="763"/>
    </row>
  </sheetData>
  <sheetProtection algorithmName="SHA-512" hashValue="71iIjfyGPws1T29/A2+C9Gj49qq+6MMrG/gjNdeT2QSLASQD+SHaUwEazUHY6GZ8m/TeoPE6zmWBudmqABODfw==" saltValue="GQw/a4JxU4RBn37LHS02UQ==" spinCount="100000" sheet="1" formatColumns="0" formatRows="0" autoFilter="0"/>
  <mergeCells count="70">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 ref="C39:D39"/>
    <mergeCell ref="C40:D40"/>
    <mergeCell ref="B65:D65"/>
    <mergeCell ref="B60:D60"/>
    <mergeCell ref="C61:D61"/>
    <mergeCell ref="B49:D49"/>
    <mergeCell ref="B45:D45"/>
    <mergeCell ref="B46:D46"/>
    <mergeCell ref="B47:D47"/>
    <mergeCell ref="B48:D48"/>
    <mergeCell ref="B56:D56"/>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A2:C2"/>
    <mergeCell ref="A3:C3"/>
    <mergeCell ref="B25:D25"/>
    <mergeCell ref="A14:D14"/>
    <mergeCell ref="A10:D10"/>
    <mergeCell ref="B5:D5"/>
    <mergeCell ref="B6:D6"/>
    <mergeCell ref="B9:D9"/>
    <mergeCell ref="B8:D8"/>
    <mergeCell ref="B11:D11"/>
    <mergeCell ref="A7:D7"/>
    <mergeCell ref="C4:D4"/>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s>
  <hyperlinks>
    <hyperlink ref="A1" location="Index!A1" display="&lt; Return to Index" xr:uid="{00000000-0004-0000-0400-000000000000}"/>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1"/>
    <outlinePr showOutlineSymbols="0"/>
    <pageSetUpPr fitToPage="1"/>
  </sheetPr>
  <dimension ref="A1:Y78"/>
  <sheetViews>
    <sheetView showGridLines="0" workbookViewId="0">
      <selection sqref="A1:B1"/>
    </sheetView>
  </sheetViews>
  <sheetFormatPr defaultColWidth="9.140625" defaultRowHeight="12.75" outlineLevelCol="1"/>
  <cols>
    <col min="1" max="1" width="2.42578125" style="5" customWidth="1"/>
    <col min="2" max="3" width="43.140625" style="5" customWidth="1"/>
    <col min="4" max="5" width="25.7109375" style="5" customWidth="1"/>
    <col min="6" max="6" width="20.5703125" style="5" customWidth="1"/>
    <col min="7" max="7" width="20.5703125" style="5" hidden="1" customWidth="1" outlineLevel="1"/>
    <col min="8" max="8" width="20.5703125" style="5" customWidth="1" collapsed="1"/>
    <col min="9" max="9" width="20.5703125" style="5" customWidth="1"/>
    <col min="10" max="11" width="20.5703125" style="5" hidden="1" customWidth="1" outlineLevel="1"/>
    <col min="12" max="12" width="20.5703125" style="5" customWidth="1" collapsed="1"/>
    <col min="13" max="13" width="22.7109375" style="36" customWidth="1"/>
    <col min="14" max="14" width="2.7109375" style="5" customWidth="1"/>
    <col min="15" max="16" width="10.28515625" style="5" customWidth="1"/>
    <col min="17" max="17" width="9.140625" style="5"/>
    <col min="18" max="18" width="10.28515625" style="302" bestFit="1" customWidth="1"/>
    <col min="19" max="21" width="16.7109375" style="5" hidden="1" customWidth="1" outlineLevel="1"/>
    <col min="22" max="22" width="9.140625" style="5" collapsed="1"/>
    <col min="23" max="23" width="14.42578125" style="5" customWidth="1"/>
    <col min="24" max="34" width="9.140625" style="5"/>
    <col min="35" max="35" width="12.7109375" style="5" bestFit="1" customWidth="1"/>
    <col min="36" max="16384" width="9.140625" style="5"/>
  </cols>
  <sheetData>
    <row r="1" spans="1:25" s="94" customFormat="1" ht="21.95" customHeight="1">
      <c r="A1" s="862" t="s">
        <v>48</v>
      </c>
      <c r="B1" s="863"/>
      <c r="C1" s="763"/>
      <c r="D1" s="763"/>
      <c r="E1" s="763"/>
      <c r="F1" s="763"/>
      <c r="G1" s="763"/>
      <c r="H1" s="763"/>
      <c r="I1" s="763"/>
      <c r="J1" s="763"/>
      <c r="K1" s="763"/>
      <c r="L1" s="763"/>
      <c r="M1" s="95"/>
      <c r="N1" s="767"/>
      <c r="O1" s="767"/>
      <c r="P1" s="767"/>
      <c r="Q1" s="767"/>
      <c r="R1" s="298"/>
      <c r="S1" s="339" t="s">
        <v>359</v>
      </c>
      <c r="T1" s="339" t="s">
        <v>359</v>
      </c>
      <c r="U1" s="339" t="s">
        <v>359</v>
      </c>
      <c r="V1" s="767"/>
      <c r="W1" s="767"/>
      <c r="X1" s="767"/>
      <c r="Y1" s="767"/>
    </row>
    <row r="2" spans="1:25" s="15" customFormat="1" ht="32.25" customHeight="1">
      <c r="A2" s="14"/>
      <c r="B2" s="26"/>
      <c r="C2" s="26"/>
      <c r="D2" s="26"/>
      <c r="E2" s="26"/>
      <c r="F2" s="26"/>
      <c r="G2" s="26"/>
      <c r="H2" s="26"/>
      <c r="I2" s="26"/>
      <c r="J2" s="26"/>
      <c r="K2" s="26"/>
      <c r="L2" s="26"/>
      <c r="M2" s="34"/>
      <c r="N2" s="27"/>
      <c r="O2" s="27"/>
      <c r="P2" s="27"/>
      <c r="R2" s="299"/>
      <c r="S2" s="340" t="s">
        <v>360</v>
      </c>
      <c r="T2" s="340" t="s">
        <v>360</v>
      </c>
      <c r="U2" s="341"/>
    </row>
    <row r="3" spans="1:25" s="15" customFormat="1" ht="21.95" customHeight="1">
      <c r="A3" s="906"/>
      <c r="B3" s="907"/>
      <c r="C3" s="780"/>
      <c r="D3" s="780"/>
      <c r="E3" s="780"/>
      <c r="F3" s="780"/>
      <c r="G3" s="780"/>
      <c r="H3" s="780"/>
      <c r="I3" s="780"/>
      <c r="J3" s="780"/>
      <c r="K3" s="780"/>
      <c r="L3" s="780"/>
      <c r="M3" s="35"/>
      <c r="N3" s="20"/>
      <c r="O3" s="20"/>
      <c r="P3" s="20"/>
      <c r="R3" s="299"/>
      <c r="S3" s="337" t="s">
        <v>361</v>
      </c>
      <c r="T3" s="337" t="s">
        <v>362</v>
      </c>
      <c r="U3" s="338" t="s">
        <v>363</v>
      </c>
    </row>
    <row r="4" spans="1:25" s="15" customFormat="1" ht="21.95" customHeight="1">
      <c r="A4" s="779"/>
      <c r="B4" s="780"/>
      <c r="C4" s="780"/>
      <c r="D4" s="780"/>
      <c r="E4" s="780"/>
      <c r="F4" s="780"/>
      <c r="G4" s="780"/>
      <c r="H4" s="780"/>
      <c r="I4" s="780"/>
      <c r="J4" s="780"/>
      <c r="K4" s="780"/>
      <c r="L4" s="780"/>
      <c r="M4" s="35"/>
      <c r="N4" s="20"/>
      <c r="O4" s="20"/>
      <c r="P4" s="20"/>
      <c r="R4" s="299"/>
      <c r="S4" s="1126">
        <v>0</v>
      </c>
      <c r="T4" s="1127">
        <v>10</v>
      </c>
      <c r="U4" s="1128">
        <v>0.15</v>
      </c>
    </row>
    <row r="5" spans="1:25" s="15" customFormat="1" ht="33" customHeight="1">
      <c r="A5" s="779"/>
      <c r="B5" s="66" t="s">
        <v>364</v>
      </c>
      <c r="C5" s="66"/>
      <c r="D5" s="66"/>
      <c r="E5" s="66"/>
      <c r="F5" s="313"/>
      <c r="G5" s="315" t="s">
        <v>365</v>
      </c>
      <c r="H5" s="306"/>
      <c r="I5" s="66"/>
      <c r="J5" s="315" t="s">
        <v>365</v>
      </c>
      <c r="K5" s="315" t="s">
        <v>365</v>
      </c>
      <c r="L5" s="66"/>
      <c r="M5" s="35"/>
      <c r="N5" s="20"/>
      <c r="O5" s="20"/>
      <c r="P5" s="20"/>
      <c r="R5" s="299"/>
      <c r="S5" s="1126">
        <v>10</v>
      </c>
      <c r="T5" s="1127">
        <v>30</v>
      </c>
      <c r="U5" s="1128">
        <v>0.1</v>
      </c>
    </row>
    <row r="6" spans="1:25" s="94" customFormat="1" ht="33" customHeight="1" thickBot="1">
      <c r="A6" s="767"/>
      <c r="B6" s="767"/>
      <c r="C6" s="767"/>
      <c r="D6" s="767"/>
      <c r="E6" s="767"/>
      <c r="F6" s="307"/>
      <c r="G6" s="307"/>
      <c r="H6" s="307"/>
      <c r="I6" s="307"/>
      <c r="J6" s="307"/>
      <c r="K6" s="307"/>
      <c r="L6" s="307"/>
      <c r="M6" s="308"/>
      <c r="N6" s="109"/>
      <c r="O6" s="109"/>
      <c r="P6" s="109"/>
      <c r="Q6" s="767"/>
      <c r="R6" s="298"/>
      <c r="S6" s="1129">
        <v>30</v>
      </c>
      <c r="T6" s="1129">
        <v>80</v>
      </c>
      <c r="U6" s="1130">
        <v>0.05</v>
      </c>
      <c r="V6" s="767"/>
      <c r="W6" s="767"/>
      <c r="X6" s="767"/>
      <c r="Y6" s="767"/>
    </row>
    <row r="7" spans="1:25" s="130" customFormat="1" ht="33" customHeight="1" thickBot="1">
      <c r="B7" s="322" t="s">
        <v>366</v>
      </c>
      <c r="C7" s="329" t="s">
        <v>367</v>
      </c>
      <c r="D7" s="325" t="s">
        <v>63</v>
      </c>
      <c r="E7" s="325" t="s">
        <v>368</v>
      </c>
      <c r="F7" s="325" t="s">
        <v>369</v>
      </c>
      <c r="G7" s="328" t="s">
        <v>370</v>
      </c>
      <c r="H7" s="325" t="s">
        <v>371</v>
      </c>
      <c r="I7" s="325" t="s">
        <v>372</v>
      </c>
      <c r="J7" s="328" t="s">
        <v>373</v>
      </c>
      <c r="K7" s="325" t="s">
        <v>374</v>
      </c>
      <c r="L7" s="325" t="s">
        <v>375</v>
      </c>
      <c r="M7" s="324" t="s">
        <v>376</v>
      </c>
      <c r="O7" s="309"/>
      <c r="R7" s="300"/>
      <c r="S7" s="1131">
        <v>80</v>
      </c>
      <c r="T7" s="1131" t="s">
        <v>377</v>
      </c>
      <c r="U7" s="1132">
        <v>0.03</v>
      </c>
      <c r="W7" s="360"/>
    </row>
    <row r="8" spans="1:25" s="94" customFormat="1" ht="33" customHeight="1">
      <c r="A8" s="767"/>
      <c r="B8" s="342" t="s">
        <v>378</v>
      </c>
      <c r="C8" s="343" t="str">
        <f>IF(ISBLANK('P-Type 1 Comps'!$D$4),"-",'P-Type 1 Comps'!$D$6)</f>
        <v>-</v>
      </c>
      <c r="D8" s="1133" t="str">
        <f>IF(ISBLANK('P-Type 1 Comps'!$D$4),"",'P-Type 1 Comps'!$D$4)</f>
        <v/>
      </c>
      <c r="E8" s="357" t="str">
        <f>IF(D8="","",IFERROR(IF('P-Type 1 Comps'!$E$21="",'P-Type 1 Comps'!$H$21,'P-Type 1 Comps'!$E$21),""))</f>
        <v/>
      </c>
      <c r="F8" s="369">
        <f>IF(D8="",0,'P-Type 1 Comps'!$E$23)</f>
        <v>0</v>
      </c>
      <c r="G8" s="370">
        <f>_xlfn.XLOOKUP(D8,tbl_ProjectTypes_SF_CM[Project Type (ths part) - Quantity Unit],tbl_ProjectTypes_SF_CM[SF_CM Application],0,0)</f>
        <v>0</v>
      </c>
      <c r="H8" s="344">
        <f>IFERROR(IF(D8="",0,(F8*G8)/SUMPRODUCT($F$8:$F$12,$G$8:$G$12)),0)</f>
        <v>0</v>
      </c>
      <c r="I8" s="345">
        <f>IF(D8="",0,'P-Type 1 Comps'!$E$49)</f>
        <v>0</v>
      </c>
      <c r="J8" s="327">
        <f>IF(D8="",0,(SUM('P-Type 1 Comps'!$E$22:$G$22)+IF('P-Type 1 Comps'!$H$13="Yes",'P-Type 1 Comps'!$H$22,0))/(COUNTIFS('P-Type 1 Comps'!$E$22:$G$22,"&lt;&gt;0",'P-Type 1 Comps'!$E$22:$G$22,"&lt;&gt;"&amp;"")+COUNTIFS('P-Type 1 Comps'!$H$22,"&lt;&gt;0",'P-Type 1 Comps'!$H$13,"&lt;&gt;No")))</f>
        <v>0</v>
      </c>
      <c r="K8" s="316" t="str">
        <f>IF(G8=0,"",($F$8*$G$8+$F$10*$G$10+$F$12*$G$12)/($H$8*$J$8+$H$10*$J$10+$H$12*$J$12))</f>
        <v/>
      </c>
      <c r="L8" s="316" t="str">
        <f>IF(D8="","",IF(G8=0,1,IF($K8&lt;0.5,1.1,IF($K8&lt;1,1.2+-0.2*$K8,IF($K8=1,1,IF($K8&lt;2,1.06-0.06*$K8,IF($K8=2,0.94,IF($K8&lt;3.5,0.9933-0.0267*$K8,0.9))))))))</f>
        <v/>
      </c>
      <c r="M8" s="347">
        <f>IF(D8="",0,F8*I8*L8)</f>
        <v>0</v>
      </c>
      <c r="N8" s="767"/>
      <c r="O8" s="95"/>
      <c r="P8" s="297"/>
      <c r="Q8" s="314"/>
      <c r="R8" s="358"/>
      <c r="S8" s="1134"/>
      <c r="T8" s="1135"/>
      <c r="U8" s="1136"/>
      <c r="V8" s="767"/>
      <c r="W8" s="359"/>
      <c r="X8" s="767"/>
      <c r="Y8" s="361"/>
    </row>
    <row r="9" spans="1:25" s="94" customFormat="1" ht="8.1" customHeight="1">
      <c r="A9" s="767"/>
      <c r="B9" s="67"/>
      <c r="C9" s="763"/>
      <c r="D9" s="117"/>
      <c r="E9" s="346"/>
      <c r="F9" s="346"/>
      <c r="G9" s="346"/>
      <c r="H9" s="763"/>
      <c r="I9" s="763"/>
      <c r="J9" s="331"/>
      <c r="K9" s="332"/>
      <c r="L9" s="332"/>
      <c r="M9" s="763"/>
      <c r="N9" s="110"/>
      <c r="O9" s="110"/>
      <c r="P9" s="110"/>
      <c r="Q9" s="767"/>
      <c r="R9" s="298"/>
      <c r="S9" s="767"/>
      <c r="T9" s="767"/>
      <c r="U9" s="767"/>
      <c r="V9" s="767"/>
      <c r="W9" s="767"/>
      <c r="X9" s="767"/>
      <c r="Y9" s="767"/>
    </row>
    <row r="10" spans="1:25" s="94" customFormat="1" ht="33" customHeight="1">
      <c r="A10" s="767"/>
      <c r="B10" s="1137" t="s">
        <v>379</v>
      </c>
      <c r="C10" s="1138" t="str">
        <f>IF(ISBLANK('P-Type 2 Comps'!$D$4),"-",'P-Type 2 Comps'!D6)</f>
        <v>-</v>
      </c>
      <c r="D10" s="1133" t="str">
        <f>IF(ISBLANK('P-Type 2 Comps'!$D$4),"",'P-Type 2 Comps'!$D$4)</f>
        <v/>
      </c>
      <c r="E10" s="1139" t="str">
        <f>IF(D10="","",IFERROR(IF('P-Type 2 Comps'!$E$21="",'P-Type 2 Comps'!$H$21,'P-Type 2 Comps'!$E$21),""))</f>
        <v/>
      </c>
      <c r="F10" s="1140">
        <f>IF(D10="",0,'P-Type 2 Comps'!$E$23)</f>
        <v>0</v>
      </c>
      <c r="G10" s="1141">
        <f>_xlfn.XLOOKUP(D10,tbl_ProjectTypes_SF_CM[Project Type (ths part) - Quantity Unit],tbl_ProjectTypes_SF_CM[SF_CM Application],0,0)</f>
        <v>0</v>
      </c>
      <c r="H10" s="1142">
        <f>IFERROR((F10*G10)/SUMPRODUCT($F$8:$F$12,$G$8:$G$12),0)</f>
        <v>0</v>
      </c>
      <c r="I10" s="1143">
        <f>IF(D10="",0,'P-Type 2 Comps'!$E$49)</f>
        <v>0</v>
      </c>
      <c r="J10" s="1144">
        <f>IF(D10="",0,(SUM('P-Type 2 Comps'!$E$22:$G$22)+IF('P-Type 2 Comps'!$H$13="Yes",'P-Type 2 Comps'!$H$22,0))/(COUNTIFS('P-Type 2 Comps'!$E$22:$G$22,"&lt;&gt;0",'P-Type 2 Comps'!$E$22:$G$22,"&lt;&gt;"&amp;"")+COUNTIFS('P-Type 2 Comps'!$H$22,"&lt;&gt;0",'P-Type 2 Comps'!$H$13,"&lt;&gt;No")))</f>
        <v>0</v>
      </c>
      <c r="K10" s="1145" t="str">
        <f>IF(G10=0,"",($F$8*$G$8+$F$10*$G$10+$F$12*$G$12)/($H$8*$J$8+$H$10*$J$10+$H$12*$J$12))</f>
        <v/>
      </c>
      <c r="L10" s="1145" t="str">
        <f>IF(D10="","",IF(G10=0,1,IF($K10&lt;0.5,1.1,IF($K10&lt;1,1.2+-0.2*$K10,IF($K10=1,1,IF($K10&lt;2,1.06-0.06*$K10,IF($K10=2,0.94,IF($K10&lt;3.5,0.9933-0.0267*$K10,0.9))))))))</f>
        <v/>
      </c>
      <c r="M10" s="1146">
        <f>IF(D10="",0,F10*I10*L10)</f>
        <v>0</v>
      </c>
      <c r="N10" s="110"/>
      <c r="O10" s="110"/>
      <c r="P10" s="297"/>
      <c r="Q10" s="109"/>
      <c r="R10" s="297"/>
      <c r="S10" s="767"/>
      <c r="T10" s="109"/>
      <c r="U10" s="305"/>
      <c r="V10" s="767"/>
      <c r="W10" s="359"/>
      <c r="X10" s="767"/>
      <c r="Y10" s="361"/>
    </row>
    <row r="11" spans="1:25" s="94" customFormat="1" ht="8.1" customHeight="1">
      <c r="A11" s="767"/>
      <c r="B11" s="67"/>
      <c r="C11" s="763"/>
      <c r="D11" s="117"/>
      <c r="E11" s="346"/>
      <c r="F11" s="346"/>
      <c r="G11" s="346"/>
      <c r="H11" s="763"/>
      <c r="I11" s="763"/>
      <c r="J11" s="331"/>
      <c r="K11" s="332"/>
      <c r="L11" s="332"/>
      <c r="M11" s="763"/>
      <c r="N11" s="110"/>
      <c r="O11" s="110"/>
      <c r="P11" s="110"/>
      <c r="Q11" s="767"/>
      <c r="R11" s="298"/>
      <c r="S11" s="767"/>
      <c r="T11" s="767"/>
      <c r="U11" s="767"/>
      <c r="V11" s="767"/>
      <c r="W11" s="767"/>
      <c r="X11" s="767"/>
      <c r="Y11" s="767"/>
    </row>
    <row r="12" spans="1:25" s="94" customFormat="1" ht="33" customHeight="1">
      <c r="A12" s="767"/>
      <c r="B12" s="1147" t="s">
        <v>380</v>
      </c>
      <c r="C12" s="1138">
        <f>'P-Type 3 Comps'!D6</f>
        <v>0</v>
      </c>
      <c r="D12" s="1133" t="str">
        <f>IF(ISBLANK('P-Type 3 Comps'!$D$4),"",'P-Type 3 Comps'!$D$4)</f>
        <v/>
      </c>
      <c r="E12" s="1139" t="str">
        <f>IF(D12="","",IFERROR(IF('P-Type 3 Comps'!$E$21="",'P-Type 3 Comps'!$H$21,'P-Type 3 Comps'!$E$21),""))</f>
        <v/>
      </c>
      <c r="F12" s="1140">
        <f>IF(D12="",0,'P-Type 3 Comps'!$E$23)</f>
        <v>0</v>
      </c>
      <c r="G12" s="1141">
        <f>_xlfn.XLOOKUP(D12,tbl_ProjectTypes_SF_CM[Project Type (ths part) - Quantity Unit],tbl_ProjectTypes_SF_CM[SF_CM Application],0,0)</f>
        <v>0</v>
      </c>
      <c r="H12" s="1142">
        <f>IFERROR((F12*G12)/SUMPRODUCT($F$8:$F$12,$G$8:$G$12),0)</f>
        <v>0</v>
      </c>
      <c r="I12" s="1143">
        <f>IF(D12="",0,'P-Type 3 Comps'!$E$49)</f>
        <v>0</v>
      </c>
      <c r="J12" s="1144">
        <f>IF(D12="",0,(SUM('P-Type 3 Comps'!$E$22:$G$22)+IF('P-Type 3 Comps'!$H$13="Yes",'P-Type 3 Comps'!$H$22,0))/(COUNTIFS('P-Type 3 Comps'!$E$22:$G$22,"&lt;&gt;0",'P-Type 3 Comps'!$E$22:$G$22,"&lt;&gt;"&amp;"")+COUNTIFS('P-Type 3 Comps'!$H$22,"&lt;&gt;0",'P-Type 3 Comps'!$H$13,"&lt;&gt;No")))</f>
        <v>0</v>
      </c>
      <c r="K12" s="1145" t="str">
        <f>IF(G12=0,"",($F$8*$G$8+$F$10*$G$10+$F$12*$G$12)/($H$8*$J$8+$H$10*$J$10+$H$12*$J$12))</f>
        <v/>
      </c>
      <c r="L12" s="1145" t="str">
        <f>IF(D12="","",IF(G12=0,1,IF($K12&lt;0.5,1.1,IF($K12&lt;1,1.2+-0.2*$K12,IF($K12=1,1,IF($K12&lt;2,1.06-0.06*$K12,IF($K12=2,0.94,IF($K12&lt;3.5,0.9933-0.0267*$K12,0.9))))))))</f>
        <v/>
      </c>
      <c r="M12" s="1146">
        <f>IF(D12="",0,F12*I12*L12)</f>
        <v>0</v>
      </c>
      <c r="N12" s="110"/>
      <c r="O12" s="110"/>
      <c r="P12" s="297"/>
      <c r="Q12" s="109"/>
      <c r="R12" s="298"/>
      <c r="S12" s="767"/>
      <c r="T12" s="109"/>
      <c r="U12" s="305"/>
      <c r="V12" s="767"/>
      <c r="W12" s="359"/>
      <c r="X12" s="767"/>
      <c r="Y12" s="361"/>
    </row>
    <row r="13" spans="1:25" s="94" customFormat="1" ht="8.1" customHeight="1">
      <c r="A13" s="767"/>
      <c r="B13" s="67"/>
      <c r="C13" s="763"/>
      <c r="D13" s="763"/>
      <c r="E13" s="763"/>
      <c r="F13" s="763"/>
      <c r="G13" s="763"/>
      <c r="H13" s="763"/>
      <c r="I13" s="763"/>
      <c r="J13" s="333"/>
      <c r="K13" s="330"/>
      <c r="L13" s="332"/>
      <c r="M13" s="763"/>
      <c r="N13" s="110"/>
      <c r="O13" s="110"/>
      <c r="P13" s="110"/>
      <c r="Q13" s="767"/>
      <c r="R13" s="298"/>
      <c r="S13" s="767"/>
      <c r="T13" s="767"/>
      <c r="U13" s="767"/>
      <c r="V13" s="767"/>
      <c r="W13" s="767"/>
      <c r="X13" s="767"/>
      <c r="Y13" s="767"/>
    </row>
    <row r="14" spans="1:25" s="94" customFormat="1" ht="33" customHeight="1">
      <c r="A14" s="767"/>
      <c r="B14" s="1148" t="s">
        <v>11</v>
      </c>
      <c r="C14" s="1138" t="s">
        <v>381</v>
      </c>
      <c r="D14" s="1149"/>
      <c r="E14" s="1149"/>
      <c r="F14" s="1149"/>
      <c r="G14" s="1149"/>
      <c r="H14" s="1150"/>
      <c r="I14" s="1151"/>
      <c r="J14" s="1152"/>
      <c r="K14" s="1153" t="s">
        <v>382</v>
      </c>
      <c r="L14" s="1154">
        <v>1</v>
      </c>
      <c r="M14" s="1146">
        <f>'P-Estimate'!F5</f>
        <v>0</v>
      </c>
      <c r="N14" s="110"/>
      <c r="O14" s="110"/>
      <c r="P14" s="110"/>
      <c r="Q14" s="109"/>
      <c r="R14" s="298"/>
      <c r="S14" s="767"/>
      <c r="T14" s="109"/>
      <c r="U14" s="305"/>
      <c r="V14" s="767"/>
      <c r="W14" s="767"/>
      <c r="X14" s="767"/>
      <c r="Y14" s="767"/>
    </row>
    <row r="15" spans="1:25" s="94" customFormat="1" ht="8.1" customHeight="1">
      <c r="A15" s="767"/>
      <c r="B15" s="330"/>
      <c r="C15" s="330"/>
      <c r="D15" s="330"/>
      <c r="E15" s="330"/>
      <c r="F15" s="330"/>
      <c r="G15" s="330"/>
      <c r="H15" s="330"/>
      <c r="I15" s="330"/>
      <c r="J15" s="330"/>
      <c r="K15" s="330"/>
      <c r="L15" s="330"/>
      <c r="M15" s="763"/>
      <c r="N15" s="110"/>
      <c r="O15" s="110"/>
      <c r="P15" s="110"/>
      <c r="Q15" s="767"/>
      <c r="R15" s="298"/>
      <c r="S15" s="767"/>
      <c r="T15" s="767"/>
      <c r="U15" s="767"/>
      <c r="V15" s="767"/>
      <c r="W15" s="767"/>
      <c r="X15" s="767"/>
      <c r="Y15" s="767"/>
    </row>
    <row r="16" spans="1:25" s="94" customFormat="1" ht="33" customHeight="1">
      <c r="A16" s="767"/>
      <c r="B16" s="1155" t="s">
        <v>383</v>
      </c>
      <c r="C16" s="1156"/>
      <c r="D16" s="1156"/>
      <c r="E16" s="1156"/>
      <c r="F16" s="1156"/>
      <c r="G16" s="1156"/>
      <c r="H16" s="1156"/>
      <c r="I16" s="1156"/>
      <c r="J16" s="1156"/>
      <c r="K16" s="1156"/>
      <c r="L16" s="1157"/>
      <c r="M16" s="1146">
        <f>M8+M10+M12+M14</f>
        <v>0</v>
      </c>
      <c r="N16" s="110"/>
      <c r="O16" s="110"/>
      <c r="P16" s="110"/>
      <c r="Q16" s="767"/>
      <c r="R16" s="298"/>
      <c r="S16" s="767"/>
      <c r="T16" s="767"/>
      <c r="U16" s="767"/>
      <c r="V16" s="767"/>
      <c r="W16" s="767"/>
      <c r="X16" s="767"/>
      <c r="Y16" s="767"/>
    </row>
    <row r="17" spans="2:21" s="94" customFormat="1" ht="8.1" customHeight="1">
      <c r="B17" s="330"/>
      <c r="C17" s="330"/>
      <c r="D17" s="330"/>
      <c r="E17" s="330"/>
      <c r="F17" s="330"/>
      <c r="G17" s="330"/>
      <c r="H17" s="330"/>
      <c r="I17" s="330"/>
      <c r="J17" s="330"/>
      <c r="K17" s="330"/>
      <c r="L17" s="330"/>
      <c r="M17" s="763"/>
      <c r="N17" s="110"/>
      <c r="O17" s="110"/>
      <c r="P17" s="110"/>
      <c r="Q17" s="767"/>
      <c r="R17" s="298"/>
      <c r="S17" s="767"/>
      <c r="T17" s="767"/>
      <c r="U17" s="767"/>
    </row>
    <row r="18" spans="2:21" s="94" customFormat="1" ht="33" customHeight="1">
      <c r="B18" s="1158" t="s">
        <v>85</v>
      </c>
      <c r="C18" s="1159"/>
      <c r="D18" s="1159"/>
      <c r="E18" s="1159"/>
      <c r="F18" s="1160" t="str">
        <f>'P-Overview'!C21</f>
        <v>Applicable ►</v>
      </c>
      <c r="G18" s="1161"/>
      <c r="H18" s="1162">
        <f>'P-Overview'!E21</f>
        <v>0</v>
      </c>
      <c r="I18" s="1163">
        <f>IF($H$18="No",0,_xlfn.XLOOKUP(M16/1000000,$S$4:$S$7,$U$4:$U$7,"CHECK",-1))</f>
        <v>0.15</v>
      </c>
      <c r="J18" s="1164"/>
      <c r="K18" s="1165"/>
      <c r="L18" s="1165"/>
      <c r="M18" s="1166">
        <f>I18*M16</f>
        <v>0</v>
      </c>
      <c r="N18" s="110"/>
      <c r="O18" s="110"/>
      <c r="P18" s="110"/>
      <c r="Q18" s="109" t="s">
        <v>32</v>
      </c>
      <c r="R18" s="298"/>
      <c r="S18" s="767"/>
      <c r="T18" s="767"/>
      <c r="U18" s="767"/>
    </row>
    <row r="19" spans="2:21" s="94" customFormat="1" ht="8.1" customHeight="1" thickBot="1">
      <c r="B19" s="330"/>
      <c r="C19" s="330"/>
      <c r="D19" s="330"/>
      <c r="E19" s="330"/>
      <c r="F19" s="330"/>
      <c r="G19" s="330"/>
      <c r="H19" s="330"/>
      <c r="I19" s="330"/>
      <c r="J19" s="330"/>
      <c r="K19" s="330"/>
      <c r="L19" s="330"/>
      <c r="M19" s="763"/>
      <c r="N19" s="110"/>
      <c r="O19" s="110"/>
      <c r="P19" s="110"/>
      <c r="Q19" s="767"/>
      <c r="R19" s="298"/>
      <c r="S19" s="767"/>
      <c r="T19" s="767"/>
      <c r="U19" s="767"/>
    </row>
    <row r="20" spans="2:21" s="131" customFormat="1" ht="33" customHeight="1" thickBot="1">
      <c r="B20" s="334" t="s">
        <v>384</v>
      </c>
      <c r="C20" s="335"/>
      <c r="D20" s="335"/>
      <c r="E20" s="335"/>
      <c r="F20" s="335"/>
      <c r="G20" s="335"/>
      <c r="H20" s="335"/>
      <c r="I20" s="336"/>
      <c r="J20" s="335"/>
      <c r="K20" s="335"/>
      <c r="L20" s="335"/>
      <c r="M20" s="348">
        <f>M16+M18</f>
        <v>0</v>
      </c>
      <c r="N20" s="132"/>
      <c r="O20" s="132"/>
      <c r="P20" s="132"/>
      <c r="R20" s="301"/>
      <c r="U20" s="767"/>
    </row>
    <row r="21" spans="2:21">
      <c r="B21" s="763"/>
      <c r="C21" s="763"/>
      <c r="D21" s="763"/>
      <c r="E21" s="763"/>
      <c r="F21" s="763"/>
      <c r="G21" s="763"/>
      <c r="H21" s="763"/>
      <c r="I21" s="763"/>
      <c r="J21" s="763"/>
      <c r="K21" s="763"/>
      <c r="L21" s="763"/>
      <c r="N21" s="37"/>
      <c r="O21" s="37"/>
      <c r="P21" s="37"/>
      <c r="Q21" s="763"/>
      <c r="S21" s="763"/>
      <c r="T21" s="763"/>
      <c r="U21" s="763"/>
    </row>
    <row r="22" spans="2:21" ht="13.5" thickBot="1">
      <c r="B22" s="36"/>
      <c r="C22" s="36"/>
      <c r="D22" s="36"/>
      <c r="E22" s="36"/>
      <c r="F22" s="303"/>
      <c r="G22" s="303"/>
      <c r="H22" s="303"/>
      <c r="I22" s="304"/>
      <c r="J22" s="304"/>
      <c r="K22" s="304"/>
      <c r="L22" s="304"/>
      <c r="N22" s="37"/>
      <c r="O22" s="37"/>
      <c r="P22" s="37"/>
      <c r="Q22" s="763"/>
      <c r="S22" s="763"/>
      <c r="T22" s="763"/>
      <c r="U22" s="763"/>
    </row>
    <row r="23" spans="2:21">
      <c r="B23" s="386" t="s">
        <v>375</v>
      </c>
      <c r="C23" s="387"/>
      <c r="D23" s="387"/>
      <c r="E23" s="387"/>
      <c r="F23" s="387"/>
      <c r="G23" s="387"/>
      <c r="H23" s="387"/>
      <c r="I23" s="387"/>
      <c r="J23" s="387"/>
      <c r="K23" s="387"/>
      <c r="L23" s="387"/>
      <c r="M23" s="388"/>
      <c r="N23" s="37"/>
      <c r="O23" s="37"/>
      <c r="P23" s="37"/>
      <c r="Q23" s="763"/>
      <c r="R23" s="389"/>
      <c r="S23" s="763"/>
      <c r="T23" s="763"/>
      <c r="U23" s="763"/>
    </row>
    <row r="24" spans="2:21">
      <c r="B24" s="390" t="s">
        <v>385</v>
      </c>
      <c r="C24" s="763"/>
      <c r="D24" s="763"/>
      <c r="E24" s="763"/>
      <c r="F24" s="6"/>
      <c r="G24" s="6"/>
      <c r="H24" s="6"/>
      <c r="I24" s="763"/>
      <c r="J24" s="763"/>
      <c r="K24" s="763"/>
      <c r="L24" s="763"/>
      <c r="M24" s="391"/>
      <c r="N24" s="37"/>
      <c r="O24" s="37"/>
      <c r="P24" s="37"/>
      <c r="Q24" s="763"/>
      <c r="R24" s="389"/>
      <c r="S24" s="763"/>
      <c r="T24" s="763"/>
      <c r="U24" s="763"/>
    </row>
    <row r="25" spans="2:21" ht="13.5" thickBot="1">
      <c r="B25" s="392"/>
      <c r="C25" s="393"/>
      <c r="D25" s="393"/>
      <c r="E25" s="393"/>
      <c r="F25" s="393"/>
      <c r="G25" s="393"/>
      <c r="H25" s="393"/>
      <c r="I25" s="393"/>
      <c r="J25" s="393"/>
      <c r="K25" s="393"/>
      <c r="L25" s="393"/>
      <c r="M25" s="394"/>
      <c r="N25" s="37"/>
      <c r="O25" s="37"/>
      <c r="P25" s="37"/>
      <c r="Q25" s="763"/>
      <c r="R25" s="389"/>
      <c r="S25" s="763"/>
      <c r="T25" s="763"/>
      <c r="U25" s="763"/>
    </row>
    <row r="26" spans="2:21">
      <c r="B26" s="763"/>
      <c r="C26" s="763"/>
      <c r="D26" s="763"/>
      <c r="E26" s="763"/>
      <c r="F26" s="6"/>
      <c r="G26" s="6"/>
      <c r="H26" s="6"/>
      <c r="I26" s="6"/>
      <c r="J26" s="6"/>
      <c r="K26" s="6"/>
      <c r="L26" s="6"/>
      <c r="N26" s="37"/>
      <c r="O26" s="37"/>
      <c r="P26" s="37"/>
      <c r="Q26" s="763"/>
      <c r="S26" s="763"/>
      <c r="T26" s="763"/>
      <c r="U26" s="763"/>
    </row>
    <row r="27" spans="2:21" ht="21.95" customHeight="1">
      <c r="B27" s="763"/>
      <c r="C27" s="763"/>
      <c r="D27" s="763"/>
      <c r="E27" s="763"/>
      <c r="F27" s="36"/>
      <c r="G27" s="763"/>
      <c r="H27" s="763"/>
      <c r="I27" s="763"/>
      <c r="J27" s="763"/>
      <c r="K27" s="763"/>
      <c r="L27" s="763"/>
      <c r="N27" s="37"/>
      <c r="O27" s="37"/>
      <c r="P27" s="37"/>
      <c r="Q27" s="763"/>
      <c r="S27" s="763"/>
      <c r="T27" s="763"/>
      <c r="U27" s="763"/>
    </row>
    <row r="28" spans="2:21" ht="21.95" customHeight="1">
      <c r="B28" s="763"/>
      <c r="C28" s="763"/>
      <c r="D28" s="763"/>
      <c r="E28" s="763"/>
      <c r="F28" s="364"/>
      <c r="G28" s="763"/>
      <c r="H28" s="763"/>
      <c r="I28" s="763"/>
      <c r="J28" s="763"/>
      <c r="K28" s="763"/>
      <c r="L28" s="763"/>
      <c r="N28" s="37"/>
      <c r="O28" s="37"/>
      <c r="P28" s="37"/>
      <c r="Q28" s="763"/>
      <c r="S28" s="763"/>
      <c r="T28" s="763"/>
      <c r="U28" s="763"/>
    </row>
    <row r="29" spans="2:21" ht="21.95" customHeight="1">
      <c r="B29" s="763"/>
      <c r="C29" s="763"/>
      <c r="D29" s="763"/>
      <c r="E29" s="763"/>
      <c r="F29" s="763"/>
      <c r="G29" s="763"/>
      <c r="H29" s="763"/>
      <c r="I29" s="763"/>
      <c r="J29" s="763"/>
      <c r="K29" s="763"/>
      <c r="L29" s="763"/>
      <c r="N29" s="37"/>
      <c r="O29" s="37"/>
      <c r="P29" s="37"/>
      <c r="Q29" s="763"/>
      <c r="S29" s="763"/>
      <c r="T29" s="763"/>
      <c r="U29" s="763"/>
    </row>
    <row r="30" spans="2:21" ht="21.95" customHeight="1">
      <c r="B30" s="763"/>
      <c r="C30" s="763"/>
      <c r="D30" s="763"/>
      <c r="E30" s="763"/>
      <c r="F30" s="364"/>
      <c r="G30" s="763"/>
      <c r="H30" s="763"/>
      <c r="I30" s="763"/>
      <c r="J30" s="763"/>
      <c r="K30" s="763"/>
      <c r="L30" s="763"/>
      <c r="N30" s="37"/>
      <c r="O30" s="37"/>
      <c r="P30" s="37"/>
      <c r="Q30" s="763"/>
      <c r="S30" s="763"/>
      <c r="T30" s="763"/>
      <c r="U30" s="763"/>
    </row>
    <row r="31" spans="2:21" ht="21.95" customHeight="1">
      <c r="B31" s="763"/>
      <c r="C31" s="763"/>
      <c r="D31" s="763"/>
      <c r="E31" s="763"/>
      <c r="F31" s="763"/>
      <c r="G31" s="763"/>
      <c r="H31" s="763"/>
      <c r="I31" s="763"/>
      <c r="J31" s="763"/>
      <c r="K31" s="763"/>
      <c r="L31" s="763"/>
      <c r="N31" s="37"/>
      <c r="O31" s="37"/>
      <c r="P31" s="37"/>
      <c r="Q31" s="763"/>
      <c r="S31" s="763"/>
      <c r="T31" s="763"/>
      <c r="U31" s="763"/>
    </row>
    <row r="32" spans="2:21" ht="21.95" customHeight="1">
      <c r="B32" s="763"/>
      <c r="C32" s="763"/>
      <c r="D32" s="763"/>
      <c r="E32" s="763"/>
      <c r="F32" s="763"/>
      <c r="G32" s="763"/>
      <c r="H32" s="763"/>
      <c r="I32" s="763"/>
      <c r="J32" s="763"/>
      <c r="K32" s="763"/>
      <c r="L32" s="763"/>
      <c r="N32" s="36"/>
      <c r="O32" s="36"/>
      <c r="P32" s="36"/>
      <c r="Q32" s="763"/>
      <c r="S32" s="763"/>
      <c r="T32" s="763"/>
      <c r="U32" s="763"/>
    </row>
    <row r="33" spans="14:16" ht="21.95" customHeight="1">
      <c r="N33" s="36"/>
      <c r="O33" s="36"/>
      <c r="P33" s="36"/>
    </row>
    <row r="34" spans="14:16" ht="21.95" customHeight="1">
      <c r="N34" s="36"/>
      <c r="O34" s="36"/>
      <c r="P34" s="36"/>
    </row>
    <row r="35" spans="14:16" ht="21.95" customHeight="1">
      <c r="N35" s="36"/>
      <c r="O35" s="36"/>
      <c r="P35" s="36"/>
    </row>
    <row r="36" spans="14:16" ht="21.95" customHeight="1">
      <c r="N36" s="36"/>
      <c r="O36" s="36"/>
      <c r="P36" s="36"/>
    </row>
    <row r="37" spans="14:16" ht="21.95" customHeight="1">
      <c r="N37" s="763"/>
      <c r="O37" s="763"/>
      <c r="P37" s="763"/>
    </row>
    <row r="38" spans="14:16" ht="21.95" customHeight="1">
      <c r="N38" s="763"/>
      <c r="O38" s="763"/>
      <c r="P38" s="763"/>
    </row>
    <row r="39" spans="14:16" ht="21.95" customHeight="1">
      <c r="N39" s="763"/>
      <c r="O39" s="763"/>
      <c r="P39" s="763"/>
    </row>
    <row r="40" spans="14:16" ht="21.95" customHeight="1">
      <c r="N40" s="763"/>
      <c r="O40" s="763"/>
      <c r="P40" s="763"/>
    </row>
    <row r="41" spans="14:16" ht="21.95" customHeight="1">
      <c r="N41" s="763"/>
      <c r="O41" s="763"/>
      <c r="P41" s="763"/>
    </row>
    <row r="42" spans="14:16" ht="21.95" customHeight="1">
      <c r="N42" s="763"/>
      <c r="O42" s="763"/>
      <c r="P42" s="763"/>
    </row>
    <row r="43" spans="14:16" ht="21.95" customHeight="1">
      <c r="N43" s="763"/>
      <c r="O43" s="763"/>
      <c r="P43" s="763"/>
    </row>
    <row r="44" spans="14:16" ht="21.95" customHeight="1">
      <c r="N44" s="763"/>
      <c r="O44" s="763"/>
      <c r="P44" s="763"/>
    </row>
    <row r="45" spans="14:16" ht="21.95" customHeight="1">
      <c r="N45" s="763"/>
      <c r="O45" s="763"/>
      <c r="P45" s="763"/>
    </row>
    <row r="46" spans="14:16" ht="21.95" customHeight="1">
      <c r="N46" s="763"/>
      <c r="O46" s="763"/>
      <c r="P46" s="763"/>
    </row>
    <row r="47" spans="14:16" ht="21.95" customHeight="1">
      <c r="N47" s="763"/>
      <c r="O47" s="763"/>
      <c r="P47" s="763"/>
    </row>
    <row r="48" spans="14:16" ht="21.95" customHeight="1">
      <c r="N48" s="763"/>
      <c r="O48" s="763"/>
      <c r="P48" s="763"/>
    </row>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sheetData>
  <sheetProtection algorithmName="SHA-512" hashValue="szpOJNhut4roCJCegAFx0EupaYvkIzsPQX2RoDWsjo4eD9TX/IEq6IgVyCNKQ5BIN5X60W8ZuAaqK0aDrqglcw==" saltValue="kbXWgwyEDnS/X5OOUEwTUg==" spinCount="100000" sheet="1" autoFilter="0"/>
  <mergeCells count="3">
    <mergeCell ref="A1:B1"/>
    <mergeCell ref="A3:B3"/>
    <mergeCell ref="F18:G18"/>
  </mergeCells>
  <conditionalFormatting sqref="K8">
    <cfRule type="containsBlanks" dxfId="199" priority="7">
      <formula>LEN(TRIM(K8))=0</formula>
    </cfRule>
  </conditionalFormatting>
  <conditionalFormatting sqref="K10">
    <cfRule type="containsBlanks" dxfId="198" priority="2">
      <formula>LEN(TRIM(K10))=0</formula>
    </cfRule>
  </conditionalFormatting>
  <conditionalFormatting sqref="K12">
    <cfRule type="containsBlanks" dxfId="197" priority="1">
      <formula>LEN(TRIM(K12))=0</formula>
    </cfRule>
  </conditionalFormatting>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pageSetUpPr fitToPage="1"/>
  </sheetPr>
  <dimension ref="A1:J74"/>
  <sheetViews>
    <sheetView showGridLines="0" workbookViewId="0">
      <selection sqref="A1:B1"/>
    </sheetView>
  </sheetViews>
  <sheetFormatPr defaultColWidth="9.140625" defaultRowHeight="12.75"/>
  <cols>
    <col min="1" max="1" width="7.5703125" style="29" customWidth="1"/>
    <col min="2" max="2" width="32.85546875" style="42" customWidth="1"/>
    <col min="3" max="3" width="15.7109375" style="31" customWidth="1"/>
    <col min="4" max="5" width="15.7109375" style="32" customWidth="1"/>
    <col min="6" max="6" width="57.5703125" style="42" customWidth="1"/>
    <col min="7" max="16384" width="9.140625" style="29"/>
  </cols>
  <sheetData>
    <row r="1" spans="1:10" s="99" customFormat="1" ht="21.95" customHeight="1">
      <c r="A1" s="862" t="s">
        <v>48</v>
      </c>
      <c r="B1" s="863"/>
      <c r="C1" s="97"/>
      <c r="D1" s="98"/>
      <c r="E1" s="98"/>
      <c r="F1" s="96"/>
    </row>
    <row r="2" spans="1:10" s="15" customFormat="1" ht="21.95" customHeight="1">
      <c r="A2" s="25"/>
      <c r="B2" s="43"/>
      <c r="C2" s="26"/>
      <c r="D2" s="27"/>
      <c r="F2" s="38"/>
      <c r="G2" s="28"/>
    </row>
    <row r="3" spans="1:10" s="15" customFormat="1" ht="21.95" customHeight="1">
      <c r="A3" s="906"/>
      <c r="B3" s="907"/>
      <c r="D3" s="20"/>
      <c r="F3" s="38"/>
    </row>
    <row r="4" spans="1:10" s="15" customFormat="1" ht="21.95" customHeight="1">
      <c r="A4" s="779"/>
      <c r="B4" s="44" t="s">
        <v>386</v>
      </c>
      <c r="D4" s="20"/>
      <c r="F4" s="38"/>
    </row>
    <row r="5" spans="1:10" ht="21.95" customHeight="1">
      <c r="B5" s="943"/>
      <c r="C5" s="944"/>
      <c r="D5" s="817" t="s">
        <v>387</v>
      </c>
      <c r="E5" s="818" t="e">
        <f>E7/E6</f>
        <v>#DIV/0!</v>
      </c>
      <c r="F5" s="945"/>
    </row>
    <row r="6" spans="1:10" ht="21.95" customHeight="1">
      <c r="B6" s="944"/>
      <c r="C6" s="944"/>
      <c r="D6" s="819" t="s">
        <v>388</v>
      </c>
      <c r="E6" s="820"/>
      <c r="F6" s="946"/>
    </row>
    <row r="7" spans="1:10" ht="21.95" customHeight="1">
      <c r="B7" s="944"/>
      <c r="C7" s="944"/>
      <c r="D7" s="819" t="s">
        <v>376</v>
      </c>
      <c r="E7" s="821">
        <f>SUM(E10:E226)</f>
        <v>0</v>
      </c>
      <c r="F7" s="946"/>
    </row>
    <row r="8" spans="1:10" ht="21.95" customHeight="1">
      <c r="B8" s="1167">
        <f>'U-Type 1 Attr'!D5</f>
        <v>0</v>
      </c>
      <c r="C8" s="1168"/>
      <c r="D8" s="1169"/>
      <c r="E8" s="1170"/>
      <c r="F8" s="1168"/>
    </row>
    <row r="9" spans="1:10" s="30" customFormat="1" ht="21.95" customHeight="1">
      <c r="B9" s="822" t="s">
        <v>389</v>
      </c>
      <c r="C9" s="823" t="s">
        <v>369</v>
      </c>
      <c r="D9" s="824" t="s">
        <v>390</v>
      </c>
      <c r="E9" s="824" t="s">
        <v>376</v>
      </c>
      <c r="F9" s="825" t="s">
        <v>91</v>
      </c>
    </row>
    <row r="10" spans="1:10" ht="21.95" customHeight="1">
      <c r="B10" s="826"/>
      <c r="C10" s="827"/>
      <c r="D10" s="828"/>
      <c r="E10" s="821" t="str">
        <f>IF(C10="","",D10*C10)</f>
        <v/>
      </c>
      <c r="F10" s="826"/>
    </row>
    <row r="11" spans="1:10" ht="21.95" customHeight="1">
      <c r="B11" s="826"/>
      <c r="C11" s="827"/>
      <c r="D11" s="828"/>
      <c r="E11" s="821" t="str">
        <f t="shared" ref="E11:E74" si="0">IF(C11="","",D11*C11)</f>
        <v/>
      </c>
      <c r="F11" s="826"/>
    </row>
    <row r="12" spans="1:10" ht="21.95" customHeight="1">
      <c r="B12" s="826"/>
      <c r="C12" s="827"/>
      <c r="D12" s="828"/>
      <c r="E12" s="821" t="str">
        <f t="shared" si="0"/>
        <v/>
      </c>
      <c r="F12" s="826"/>
    </row>
    <row r="13" spans="1:10" ht="21.95" customHeight="1">
      <c r="B13" s="826"/>
      <c r="C13" s="827"/>
      <c r="D13" s="828"/>
      <c r="E13" s="821" t="str">
        <f t="shared" si="0"/>
        <v/>
      </c>
      <c r="F13" s="826"/>
      <c r="J13" s="58"/>
    </row>
    <row r="14" spans="1:10" ht="21.95" customHeight="1">
      <c r="B14" s="826"/>
      <c r="C14" s="827"/>
      <c r="D14" s="828"/>
      <c r="E14" s="821" t="str">
        <f t="shared" si="0"/>
        <v/>
      </c>
      <c r="F14" s="826"/>
    </row>
    <row r="15" spans="1:10" ht="21.95" customHeight="1">
      <c r="B15" s="826"/>
      <c r="C15" s="827"/>
      <c r="D15" s="828"/>
      <c r="E15" s="821" t="str">
        <f t="shared" si="0"/>
        <v/>
      </c>
      <c r="F15" s="826"/>
    </row>
    <row r="16" spans="1:10" ht="21.95" customHeight="1">
      <c r="B16" s="826"/>
      <c r="C16" s="827"/>
      <c r="D16" s="828"/>
      <c r="E16" s="821" t="str">
        <f t="shared" si="0"/>
        <v/>
      </c>
      <c r="F16" s="826"/>
    </row>
    <row r="17" spans="2:6" ht="21.95" customHeight="1">
      <c r="B17" s="826"/>
      <c r="C17" s="827"/>
      <c r="D17" s="828"/>
      <c r="E17" s="821" t="str">
        <f t="shared" si="0"/>
        <v/>
      </c>
      <c r="F17" s="826"/>
    </row>
    <row r="18" spans="2:6" ht="21.95" customHeight="1">
      <c r="B18" s="826"/>
      <c r="C18" s="827"/>
      <c r="D18" s="828"/>
      <c r="E18" s="821" t="str">
        <f t="shared" si="0"/>
        <v/>
      </c>
      <c r="F18" s="826"/>
    </row>
    <row r="19" spans="2:6" ht="21.95" customHeight="1">
      <c r="B19" s="826"/>
      <c r="C19" s="827"/>
      <c r="D19" s="828"/>
      <c r="E19" s="821" t="str">
        <f t="shared" si="0"/>
        <v/>
      </c>
      <c r="F19" s="826"/>
    </row>
    <row r="20" spans="2:6" ht="21.95" customHeight="1">
      <c r="B20" s="826"/>
      <c r="C20" s="827"/>
      <c r="D20" s="828"/>
      <c r="E20" s="821" t="str">
        <f t="shared" si="0"/>
        <v/>
      </c>
      <c r="F20" s="826"/>
    </row>
    <row r="21" spans="2:6" ht="21.95" customHeight="1">
      <c r="B21" s="826"/>
      <c r="C21" s="827"/>
      <c r="D21" s="828"/>
      <c r="E21" s="821" t="str">
        <f t="shared" si="0"/>
        <v/>
      </c>
      <c r="F21" s="826"/>
    </row>
    <row r="22" spans="2:6" ht="21.95" customHeight="1">
      <c r="B22" s="826"/>
      <c r="C22" s="827"/>
      <c r="D22" s="828"/>
      <c r="E22" s="821" t="str">
        <f t="shared" si="0"/>
        <v/>
      </c>
      <c r="F22" s="826"/>
    </row>
    <row r="23" spans="2:6" ht="21.95" customHeight="1">
      <c r="B23" s="826"/>
      <c r="C23" s="827"/>
      <c r="D23" s="828"/>
      <c r="E23" s="821" t="str">
        <f t="shared" si="0"/>
        <v/>
      </c>
      <c r="F23" s="826"/>
    </row>
    <row r="24" spans="2:6" ht="21.95" customHeight="1">
      <c r="B24" s="826"/>
      <c r="C24" s="827"/>
      <c r="D24" s="828"/>
      <c r="E24" s="821" t="str">
        <f t="shared" si="0"/>
        <v/>
      </c>
      <c r="F24" s="826"/>
    </row>
    <row r="25" spans="2:6" ht="21.95" customHeight="1">
      <c r="B25" s="826"/>
      <c r="C25" s="827"/>
      <c r="D25" s="828"/>
      <c r="E25" s="821" t="str">
        <f t="shared" si="0"/>
        <v/>
      </c>
      <c r="F25" s="826"/>
    </row>
    <row r="26" spans="2:6" ht="21.95" customHeight="1">
      <c r="B26" s="826"/>
      <c r="C26" s="827"/>
      <c r="D26" s="828"/>
      <c r="E26" s="821" t="str">
        <f t="shared" si="0"/>
        <v/>
      </c>
      <c r="F26" s="826"/>
    </row>
    <row r="27" spans="2:6" ht="21.95" customHeight="1">
      <c r="B27" s="826"/>
      <c r="C27" s="827"/>
      <c r="D27" s="828"/>
      <c r="E27" s="821" t="str">
        <f t="shared" si="0"/>
        <v/>
      </c>
      <c r="F27" s="826"/>
    </row>
    <row r="28" spans="2:6" ht="21.95" customHeight="1">
      <c r="B28" s="826"/>
      <c r="C28" s="827"/>
      <c r="D28" s="828"/>
      <c r="E28" s="821" t="str">
        <f t="shared" si="0"/>
        <v/>
      </c>
      <c r="F28" s="826"/>
    </row>
    <row r="29" spans="2:6" ht="21.95" customHeight="1">
      <c r="B29" s="826"/>
      <c r="C29" s="827"/>
      <c r="D29" s="828"/>
      <c r="E29" s="821" t="str">
        <f t="shared" si="0"/>
        <v/>
      </c>
      <c r="F29" s="826"/>
    </row>
    <row r="30" spans="2:6" ht="21.95" customHeight="1">
      <c r="B30" s="826"/>
      <c r="C30" s="827"/>
      <c r="D30" s="828"/>
      <c r="E30" s="821" t="str">
        <f t="shared" si="0"/>
        <v/>
      </c>
      <c r="F30" s="826"/>
    </row>
    <row r="31" spans="2:6" ht="21.95" customHeight="1">
      <c r="B31" s="826"/>
      <c r="C31" s="827"/>
      <c r="D31" s="828"/>
      <c r="E31" s="821" t="str">
        <f t="shared" si="0"/>
        <v/>
      </c>
      <c r="F31" s="826"/>
    </row>
    <row r="32" spans="2:6" ht="21.95" customHeight="1">
      <c r="B32" s="826"/>
      <c r="C32" s="827"/>
      <c r="D32" s="828"/>
      <c r="E32" s="821" t="str">
        <f t="shared" si="0"/>
        <v/>
      </c>
      <c r="F32" s="826"/>
    </row>
    <row r="33" spans="2:6" ht="21.95" customHeight="1">
      <c r="B33" s="826"/>
      <c r="C33" s="827"/>
      <c r="D33" s="828"/>
      <c r="E33" s="821" t="str">
        <f t="shared" si="0"/>
        <v/>
      </c>
      <c r="F33" s="826"/>
    </row>
    <row r="34" spans="2:6" ht="21.95" customHeight="1">
      <c r="B34" s="826"/>
      <c r="C34" s="827"/>
      <c r="D34" s="828"/>
      <c r="E34" s="821" t="str">
        <f t="shared" si="0"/>
        <v/>
      </c>
      <c r="F34" s="826"/>
    </row>
    <row r="35" spans="2:6" ht="21.95" customHeight="1">
      <c r="B35" s="826"/>
      <c r="C35" s="827"/>
      <c r="D35" s="828"/>
      <c r="E35" s="821" t="str">
        <f t="shared" si="0"/>
        <v/>
      </c>
      <c r="F35" s="826"/>
    </row>
    <row r="36" spans="2:6" ht="21.95" customHeight="1">
      <c r="B36" s="826"/>
      <c r="C36" s="827"/>
      <c r="D36" s="828"/>
      <c r="E36" s="821" t="str">
        <f t="shared" si="0"/>
        <v/>
      </c>
      <c r="F36" s="826"/>
    </row>
    <row r="37" spans="2:6" ht="21.95" customHeight="1">
      <c r="B37" s="826"/>
      <c r="C37" s="827"/>
      <c r="D37" s="828"/>
      <c r="E37" s="821" t="str">
        <f t="shared" si="0"/>
        <v/>
      </c>
      <c r="F37" s="826"/>
    </row>
    <row r="38" spans="2:6" ht="21.95" customHeight="1">
      <c r="B38" s="826"/>
      <c r="C38" s="827"/>
      <c r="D38" s="828"/>
      <c r="E38" s="821" t="str">
        <f t="shared" si="0"/>
        <v/>
      </c>
      <c r="F38" s="826"/>
    </row>
    <row r="39" spans="2:6" ht="21.95" customHeight="1">
      <c r="B39" s="826"/>
      <c r="C39" s="827"/>
      <c r="D39" s="828"/>
      <c r="E39" s="821" t="str">
        <f t="shared" si="0"/>
        <v/>
      </c>
      <c r="F39" s="826"/>
    </row>
    <row r="40" spans="2:6" ht="21.95" customHeight="1">
      <c r="B40" s="826"/>
      <c r="C40" s="827"/>
      <c r="D40" s="828"/>
      <c r="E40" s="821" t="str">
        <f t="shared" si="0"/>
        <v/>
      </c>
      <c r="F40" s="826"/>
    </row>
    <row r="41" spans="2:6" ht="21.95" customHeight="1">
      <c r="B41" s="826"/>
      <c r="C41" s="827"/>
      <c r="D41" s="828"/>
      <c r="E41" s="821" t="str">
        <f t="shared" si="0"/>
        <v/>
      </c>
      <c r="F41" s="826"/>
    </row>
    <row r="42" spans="2:6" ht="21.95" customHeight="1">
      <c r="B42" s="826"/>
      <c r="C42" s="827"/>
      <c r="D42" s="828"/>
      <c r="E42" s="821" t="str">
        <f t="shared" si="0"/>
        <v/>
      </c>
      <c r="F42" s="826"/>
    </row>
    <row r="43" spans="2:6" ht="21.95" customHeight="1">
      <c r="B43" s="826"/>
      <c r="C43" s="827"/>
      <c r="D43" s="828"/>
      <c r="E43" s="821" t="str">
        <f t="shared" si="0"/>
        <v/>
      </c>
      <c r="F43" s="826"/>
    </row>
    <row r="44" spans="2:6" ht="21.95" customHeight="1">
      <c r="B44" s="826"/>
      <c r="C44" s="827"/>
      <c r="D44" s="828"/>
      <c r="E44" s="821" t="str">
        <f t="shared" si="0"/>
        <v/>
      </c>
      <c r="F44" s="826"/>
    </row>
    <row r="45" spans="2:6" ht="21.95" customHeight="1">
      <c r="B45" s="826"/>
      <c r="C45" s="827"/>
      <c r="D45" s="828"/>
      <c r="E45" s="821" t="str">
        <f t="shared" si="0"/>
        <v/>
      </c>
      <c r="F45" s="826"/>
    </row>
    <row r="46" spans="2:6" ht="21.95" customHeight="1">
      <c r="B46" s="826"/>
      <c r="C46" s="827"/>
      <c r="D46" s="828"/>
      <c r="E46" s="821" t="str">
        <f t="shared" si="0"/>
        <v/>
      </c>
      <c r="F46" s="826"/>
    </row>
    <row r="47" spans="2:6" ht="21.95" customHeight="1">
      <c r="B47" s="826"/>
      <c r="C47" s="827"/>
      <c r="D47" s="828"/>
      <c r="E47" s="821" t="str">
        <f t="shared" si="0"/>
        <v/>
      </c>
      <c r="F47" s="826"/>
    </row>
    <row r="48" spans="2:6" ht="21.95" customHeight="1">
      <c r="B48" s="826"/>
      <c r="C48" s="827"/>
      <c r="D48" s="828"/>
      <c r="E48" s="821" t="str">
        <f t="shared" si="0"/>
        <v/>
      </c>
      <c r="F48" s="826"/>
    </row>
    <row r="49" spans="2:6" ht="21.95" customHeight="1">
      <c r="B49" s="826"/>
      <c r="C49" s="827"/>
      <c r="D49" s="828"/>
      <c r="E49" s="821" t="str">
        <f t="shared" si="0"/>
        <v/>
      </c>
      <c r="F49" s="826"/>
    </row>
    <row r="50" spans="2:6" ht="21.95" customHeight="1">
      <c r="B50" s="826"/>
      <c r="C50" s="827"/>
      <c r="D50" s="828"/>
      <c r="E50" s="821" t="str">
        <f t="shared" si="0"/>
        <v/>
      </c>
      <c r="F50" s="826"/>
    </row>
    <row r="51" spans="2:6" ht="21.95" customHeight="1">
      <c r="B51" s="826"/>
      <c r="C51" s="827"/>
      <c r="D51" s="828"/>
      <c r="E51" s="821" t="str">
        <f t="shared" si="0"/>
        <v/>
      </c>
      <c r="F51" s="826"/>
    </row>
    <row r="52" spans="2:6" ht="21.95" customHeight="1">
      <c r="B52" s="826"/>
      <c r="C52" s="827"/>
      <c r="D52" s="828"/>
      <c r="E52" s="821" t="str">
        <f t="shared" si="0"/>
        <v/>
      </c>
      <c r="F52" s="826"/>
    </row>
    <row r="53" spans="2:6">
      <c r="B53" s="783"/>
      <c r="E53" s="32" t="str">
        <f t="shared" si="0"/>
        <v/>
      </c>
      <c r="F53" s="783"/>
    </row>
    <row r="54" spans="2:6">
      <c r="B54" s="783"/>
      <c r="E54" s="32" t="str">
        <f t="shared" si="0"/>
        <v/>
      </c>
      <c r="F54" s="783"/>
    </row>
    <row r="55" spans="2:6">
      <c r="B55" s="783"/>
      <c r="E55" s="32" t="str">
        <f t="shared" si="0"/>
        <v/>
      </c>
      <c r="F55" s="783"/>
    </row>
    <row r="56" spans="2:6">
      <c r="B56" s="783"/>
      <c r="E56" s="32" t="str">
        <f t="shared" si="0"/>
        <v/>
      </c>
      <c r="F56" s="783"/>
    </row>
    <row r="57" spans="2:6">
      <c r="B57" s="783"/>
      <c r="E57" s="32" t="str">
        <f t="shared" si="0"/>
        <v/>
      </c>
      <c r="F57" s="783"/>
    </row>
    <row r="58" spans="2:6">
      <c r="B58" s="783"/>
      <c r="E58" s="32" t="str">
        <f t="shared" si="0"/>
        <v/>
      </c>
      <c r="F58" s="783"/>
    </row>
    <row r="59" spans="2:6">
      <c r="B59" s="783"/>
      <c r="E59" s="32" t="str">
        <f t="shared" si="0"/>
        <v/>
      </c>
      <c r="F59" s="783"/>
    </row>
    <row r="60" spans="2:6">
      <c r="B60" s="783"/>
      <c r="E60" s="32" t="str">
        <f t="shared" si="0"/>
        <v/>
      </c>
      <c r="F60" s="783"/>
    </row>
    <row r="61" spans="2:6">
      <c r="B61" s="783"/>
      <c r="E61" s="32" t="str">
        <f t="shared" si="0"/>
        <v/>
      </c>
      <c r="F61" s="783"/>
    </row>
    <row r="62" spans="2:6">
      <c r="B62" s="783"/>
      <c r="E62" s="32" t="str">
        <f t="shared" si="0"/>
        <v/>
      </c>
      <c r="F62" s="783"/>
    </row>
    <row r="63" spans="2:6">
      <c r="B63" s="783"/>
      <c r="E63" s="32" t="str">
        <f t="shared" si="0"/>
        <v/>
      </c>
      <c r="F63" s="783"/>
    </row>
    <row r="64" spans="2:6">
      <c r="B64" s="783"/>
      <c r="E64" s="32" t="str">
        <f t="shared" si="0"/>
        <v/>
      </c>
      <c r="F64" s="783"/>
    </row>
    <row r="65" spans="5:5">
      <c r="E65" s="32" t="str">
        <f t="shared" si="0"/>
        <v/>
      </c>
    </row>
    <row r="66" spans="5:5">
      <c r="E66" s="32" t="str">
        <f t="shared" si="0"/>
        <v/>
      </c>
    </row>
    <row r="67" spans="5:5">
      <c r="E67" s="32" t="str">
        <f t="shared" si="0"/>
        <v/>
      </c>
    </row>
    <row r="68" spans="5:5">
      <c r="E68" s="32" t="str">
        <f t="shared" si="0"/>
        <v/>
      </c>
    </row>
    <row r="69" spans="5:5">
      <c r="E69" s="32" t="str">
        <f t="shared" si="0"/>
        <v/>
      </c>
    </row>
    <row r="70" spans="5:5">
      <c r="E70" s="32" t="str">
        <f t="shared" si="0"/>
        <v/>
      </c>
    </row>
    <row r="71" spans="5:5">
      <c r="E71" s="32" t="str">
        <f t="shared" si="0"/>
        <v/>
      </c>
    </row>
    <row r="72" spans="5:5">
      <c r="E72" s="32" t="str">
        <f t="shared" si="0"/>
        <v/>
      </c>
    </row>
    <row r="73" spans="5:5">
      <c r="E73" s="32" t="str">
        <f t="shared" si="0"/>
        <v/>
      </c>
    </row>
    <row r="74" spans="5:5">
      <c r="E74" s="32" t="str">
        <f t="shared" si="0"/>
        <v/>
      </c>
    </row>
  </sheetData>
  <sheetProtection algorithmName="SHA-512" hashValue="t5fcu5tI2NTRBsYp+stArYExB2oy/g3rlWzo0Sp/OfEA41N+Jc1kQ780NUoPEwpq8akjXvu8vo0JSQ3mQnOquA==" saltValue="kLPCUkep2ncZ/HqdN4Fd5g==" spinCount="100000" sheet="1" formatColumns="0" formatRows="0" autoFilter="0"/>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R39"/>
  <sheetViews>
    <sheetView showGridLines="0" workbookViewId="0"/>
  </sheetViews>
  <sheetFormatPr defaultColWidth="9.140625" defaultRowHeight="12.75"/>
  <cols>
    <col min="1" max="1" width="16.140625" style="5" customWidth="1"/>
    <col min="2" max="3" width="37.7109375" style="5" customWidth="1"/>
    <col min="4" max="4" width="37.7109375" style="3" customWidth="1"/>
    <col min="5" max="26" width="9.140625" style="5" customWidth="1"/>
    <col min="27" max="38" width="9.140625" style="5" hidden="1" customWidth="1"/>
    <col min="39" max="45" width="9.140625" style="5" customWidth="1"/>
    <col min="46" max="16384" width="9.140625" style="5"/>
  </cols>
  <sheetData>
    <row r="1" spans="1:44" s="94" customFormat="1" ht="21.95" customHeight="1">
      <c r="A1" s="762" t="s">
        <v>48</v>
      </c>
      <c r="B1" s="767"/>
      <c r="C1" s="767"/>
      <c r="D1" s="92"/>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c r="AL1" s="767"/>
      <c r="AM1" s="767"/>
      <c r="AN1" s="767"/>
      <c r="AO1" s="767"/>
      <c r="AP1" s="767"/>
      <c r="AQ1" s="767"/>
      <c r="AR1" s="767"/>
    </row>
    <row r="2" spans="1:44" s="3" customFormat="1" ht="15" customHeight="1">
      <c r="A2" s="774"/>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784"/>
      <c r="AR2" s="784"/>
    </row>
    <row r="3" spans="1:44" s="3" customFormat="1" ht="15" customHeight="1">
      <c r="A3" s="911"/>
      <c r="B3" s="865"/>
      <c r="C3" s="863"/>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t="s">
        <v>391</v>
      </c>
      <c r="AH3" s="784"/>
      <c r="AI3" s="784"/>
      <c r="AJ3" s="784"/>
      <c r="AK3" s="784"/>
      <c r="AL3" s="784"/>
      <c r="AM3" s="784"/>
      <c r="AN3" s="784"/>
      <c r="AO3" s="784"/>
      <c r="AP3" s="784"/>
      <c r="AQ3" s="784"/>
      <c r="AR3" s="784"/>
    </row>
    <row r="4" spans="1:44" ht="33" customHeight="1" thickBot="1">
      <c r="A4" s="763"/>
      <c r="B4" s="763"/>
      <c r="C4" s="65" t="s">
        <v>392</v>
      </c>
      <c r="D4" s="763"/>
      <c r="E4" s="763"/>
      <c r="F4" s="763"/>
      <c r="G4" s="763"/>
      <c r="H4" s="763"/>
      <c r="I4" s="763"/>
      <c r="J4" s="763"/>
      <c r="K4" s="763"/>
      <c r="L4" s="763"/>
      <c r="M4" s="763"/>
      <c r="N4" s="763"/>
      <c r="O4" s="763"/>
      <c r="P4" s="763"/>
      <c r="Q4" s="763"/>
      <c r="R4" s="763"/>
      <c r="S4" s="763"/>
      <c r="T4" s="763"/>
      <c r="U4" s="763"/>
      <c r="V4" s="763"/>
      <c r="W4" s="763"/>
      <c r="X4" s="763"/>
      <c r="Y4" s="763"/>
      <c r="Z4" s="763"/>
      <c r="AA4" s="763"/>
      <c r="AB4" s="763"/>
      <c r="AC4" s="763"/>
      <c r="AD4" s="763"/>
      <c r="AE4" s="763"/>
      <c r="AF4" s="763"/>
      <c r="AG4" s="763" t="s">
        <v>393</v>
      </c>
      <c r="AH4" s="763"/>
      <c r="AI4" s="763"/>
      <c r="AJ4" s="763"/>
      <c r="AK4" s="763"/>
      <c r="AL4" s="763"/>
      <c r="AM4" s="763"/>
      <c r="AN4" s="763"/>
      <c r="AO4" s="763"/>
      <c r="AP4" s="763"/>
      <c r="AQ4" s="763"/>
      <c r="AR4" s="763"/>
    </row>
    <row r="5" spans="1:44" s="94" customFormat="1" ht="21.95" customHeight="1" thickBot="1">
      <c r="A5" s="114" t="s">
        <v>394</v>
      </c>
      <c r="B5" s="379"/>
      <c r="C5" s="114" t="s">
        <v>395</v>
      </c>
      <c r="D5" s="379"/>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c r="AL5" s="767"/>
      <c r="AM5" s="767"/>
      <c r="AN5" s="767"/>
      <c r="AO5" s="767"/>
      <c r="AP5" s="767"/>
      <c r="AQ5" s="767"/>
      <c r="AR5" s="767"/>
    </row>
    <row r="6" spans="1:44" ht="18" customHeight="1" thickBot="1">
      <c r="A6" s="174"/>
      <c r="B6" s="784"/>
      <c r="C6" s="784"/>
      <c r="D6" s="784"/>
      <c r="E6" s="763"/>
      <c r="F6" s="763"/>
      <c r="G6" s="763"/>
      <c r="H6" s="763"/>
      <c r="I6" s="763"/>
      <c r="J6" s="763"/>
      <c r="K6" s="763"/>
      <c r="L6" s="763"/>
      <c r="M6" s="763"/>
      <c r="N6" s="763"/>
      <c r="O6" s="763"/>
      <c r="P6" s="763"/>
      <c r="Q6" s="763"/>
      <c r="R6" s="763"/>
      <c r="S6" s="763"/>
      <c r="T6" s="763"/>
      <c r="U6" s="763"/>
      <c r="V6" s="763"/>
      <c r="W6" s="763"/>
      <c r="X6" s="763"/>
      <c r="Y6" s="763"/>
      <c r="Z6" s="763"/>
      <c r="AA6" s="763"/>
      <c r="AB6" s="6"/>
      <c r="AC6" s="6"/>
      <c r="AD6" s="6"/>
      <c r="AE6" s="7" t="s">
        <v>396</v>
      </c>
      <c r="AF6" s="763"/>
      <c r="AG6" s="763"/>
      <c r="AH6" s="6"/>
      <c r="AI6" s="6"/>
      <c r="AJ6" s="6"/>
      <c r="AK6" s="6"/>
      <c r="AL6" s="6"/>
      <c r="AM6" s="6"/>
      <c r="AN6" s="6"/>
      <c r="AO6" s="6"/>
      <c r="AP6" s="6"/>
      <c r="AQ6" s="6"/>
      <c r="AR6" s="6"/>
    </row>
    <row r="7" spans="1:44" ht="21.95" customHeight="1" thickBot="1">
      <c r="A7" s="1171" t="s">
        <v>397</v>
      </c>
      <c r="B7" s="379"/>
      <c r="C7" s="379"/>
      <c r="D7" s="379"/>
      <c r="E7" s="763"/>
      <c r="F7" s="763"/>
      <c r="G7" s="763"/>
      <c r="H7" s="763"/>
      <c r="I7" s="763"/>
      <c r="J7" s="763"/>
      <c r="K7" s="763"/>
      <c r="L7" s="763"/>
      <c r="M7" s="763"/>
      <c r="N7" s="763"/>
      <c r="O7" s="763"/>
      <c r="P7" s="763"/>
      <c r="Q7" s="763"/>
      <c r="R7" s="763"/>
      <c r="S7" s="763"/>
      <c r="T7" s="763"/>
      <c r="U7" s="763"/>
      <c r="V7" s="763"/>
      <c r="W7" s="763"/>
      <c r="X7" s="763"/>
      <c r="Y7" s="763"/>
      <c r="Z7" s="763"/>
      <c r="AA7" s="6" t="s">
        <v>398</v>
      </c>
      <c r="AB7" s="6"/>
      <c r="AC7" s="6"/>
      <c r="AD7" s="6"/>
      <c r="AE7" s="7" t="s">
        <v>399</v>
      </c>
      <c r="AF7" s="7"/>
      <c r="AG7" s="6"/>
      <c r="AH7" s="6"/>
      <c r="AI7" s="6"/>
      <c r="AJ7" s="6"/>
      <c r="AK7" s="6"/>
      <c r="AL7" s="6"/>
      <c r="AM7" s="6"/>
      <c r="AN7" s="6"/>
      <c r="AO7" s="6"/>
      <c r="AP7" s="6"/>
      <c r="AQ7" s="6"/>
      <c r="AR7" s="6"/>
    </row>
    <row r="8" spans="1:44" ht="21.95" customHeight="1" thickBot="1">
      <c r="A8" s="59"/>
      <c r="B8" s="109" t="s">
        <v>91</v>
      </c>
      <c r="C8" s="767"/>
      <c r="D8" s="111"/>
      <c r="E8" s="763"/>
      <c r="F8" s="763"/>
      <c r="G8" s="763"/>
      <c r="H8" s="763"/>
      <c r="I8" s="763"/>
      <c r="J8" s="763"/>
      <c r="K8" s="763"/>
      <c r="L8" s="763"/>
      <c r="M8" s="763"/>
      <c r="N8" s="763"/>
      <c r="O8" s="763"/>
      <c r="P8" s="763"/>
      <c r="Q8" s="763"/>
      <c r="R8" s="763"/>
      <c r="S8" s="763"/>
      <c r="T8" s="763"/>
      <c r="U8" s="763"/>
      <c r="V8" s="763"/>
      <c r="W8" s="763"/>
      <c r="X8" s="763"/>
      <c r="Y8" s="763"/>
      <c r="Z8" s="763"/>
      <c r="AA8" s="6" t="s">
        <v>400</v>
      </c>
      <c r="AB8" s="6"/>
      <c r="AC8" s="6"/>
      <c r="AD8" s="6"/>
      <c r="AE8" s="7" t="s">
        <v>401</v>
      </c>
      <c r="AF8" s="39"/>
      <c r="AG8" s="6"/>
      <c r="AH8" s="7" t="s">
        <v>32</v>
      </c>
      <c r="AI8" s="6"/>
      <c r="AJ8" s="6"/>
      <c r="AK8" s="7" t="s">
        <v>402</v>
      </c>
      <c r="AL8" s="6"/>
      <c r="AM8" s="6"/>
      <c r="AN8" s="6"/>
      <c r="AO8" s="6"/>
      <c r="AP8" s="6"/>
      <c r="AQ8" s="6"/>
      <c r="AR8" s="6"/>
    </row>
    <row r="9" spans="1:44" ht="44.1" customHeight="1" thickBot="1">
      <c r="A9" s="59"/>
      <c r="B9" s="908"/>
      <c r="C9" s="909"/>
      <c r="D9" s="910"/>
      <c r="E9" s="763"/>
      <c r="F9" s="763"/>
      <c r="G9" s="763"/>
      <c r="H9" s="763"/>
      <c r="I9" s="763"/>
      <c r="J9" s="763"/>
      <c r="K9" s="763"/>
      <c r="L9" s="763"/>
      <c r="M9" s="763"/>
      <c r="N9" s="763"/>
      <c r="O9" s="763"/>
      <c r="P9" s="763"/>
      <c r="Q9" s="763"/>
      <c r="R9" s="763"/>
      <c r="S9" s="763"/>
      <c r="T9" s="763"/>
      <c r="U9" s="763"/>
      <c r="V9" s="763"/>
      <c r="W9" s="763"/>
      <c r="X9" s="763"/>
      <c r="Y9" s="763"/>
      <c r="Z9" s="763"/>
      <c r="AA9" s="6" t="s">
        <v>403</v>
      </c>
      <c r="AB9" s="39"/>
      <c r="AC9" s="39"/>
      <c r="AD9" s="39"/>
      <c r="AE9" s="7" t="s">
        <v>404</v>
      </c>
      <c r="AF9" s="40"/>
      <c r="AG9" s="39"/>
      <c r="AH9" s="763"/>
      <c r="AI9" s="39"/>
      <c r="AJ9" s="39"/>
      <c r="AK9" s="7" t="s">
        <v>405</v>
      </c>
      <c r="AL9" s="39"/>
      <c r="AM9" s="7"/>
      <c r="AN9" s="7"/>
      <c r="AO9" s="39"/>
      <c r="AP9" s="39"/>
      <c r="AQ9" s="39"/>
      <c r="AR9" s="39"/>
    </row>
    <row r="10" spans="1:44" ht="21.95" customHeight="1" thickBot="1">
      <c r="A10" s="60"/>
      <c r="B10" s="112"/>
      <c r="C10" s="112"/>
      <c r="D10" s="113"/>
      <c r="E10" s="763"/>
      <c r="F10" s="763"/>
      <c r="G10" s="763"/>
      <c r="H10" s="763"/>
      <c r="I10" s="763"/>
      <c r="J10" s="763"/>
      <c r="K10" s="763"/>
      <c r="L10" s="763"/>
      <c r="M10" s="763"/>
      <c r="N10" s="763"/>
      <c r="O10" s="763"/>
      <c r="P10" s="763"/>
      <c r="Q10" s="763"/>
      <c r="R10" s="763"/>
      <c r="S10" s="763"/>
      <c r="T10" s="763"/>
      <c r="U10" s="763"/>
      <c r="V10" s="763"/>
      <c r="W10" s="763"/>
      <c r="X10" s="763"/>
      <c r="Y10" s="763"/>
      <c r="Z10" s="763"/>
      <c r="AA10" s="763"/>
      <c r="AB10" s="6"/>
      <c r="AC10" s="6"/>
      <c r="AD10" s="6"/>
      <c r="AE10" s="7" t="s">
        <v>406</v>
      </c>
      <c r="AF10" s="763"/>
      <c r="AG10" s="6"/>
      <c r="AH10" s="763"/>
      <c r="AI10" s="6"/>
      <c r="AJ10" s="6"/>
      <c r="AK10" s="7" t="s">
        <v>407</v>
      </c>
      <c r="AL10" s="6"/>
      <c r="AM10" s="6"/>
      <c r="AN10" s="6"/>
      <c r="AO10" s="6"/>
      <c r="AP10" s="6"/>
      <c r="AQ10" s="6"/>
      <c r="AR10" s="6"/>
    </row>
    <row r="11" spans="1:44" ht="21.95" customHeight="1" thickBot="1">
      <c r="A11" s="1171" t="s">
        <v>408</v>
      </c>
      <c r="B11" s="379"/>
      <c r="C11" s="379"/>
      <c r="D11" s="379"/>
      <c r="E11" s="763"/>
      <c r="F11" s="763"/>
      <c r="G11" s="763"/>
      <c r="H11" s="763"/>
      <c r="I11" s="763"/>
      <c r="J11" s="763"/>
      <c r="K11" s="763"/>
      <c r="L11" s="763"/>
      <c r="M11" s="763"/>
      <c r="N11" s="763"/>
      <c r="O11" s="763"/>
      <c r="P11" s="763"/>
      <c r="Q11" s="763"/>
      <c r="R11" s="763"/>
      <c r="S11" s="763"/>
      <c r="T11" s="763"/>
      <c r="U11" s="763"/>
      <c r="V11" s="763"/>
      <c r="W11" s="763"/>
      <c r="X11" s="763"/>
      <c r="Y11" s="763"/>
      <c r="Z11" s="763"/>
      <c r="AA11" s="763"/>
      <c r="AB11" s="6"/>
      <c r="AC11" s="6"/>
      <c r="AD11" s="6"/>
      <c r="AE11" s="7" t="s">
        <v>409</v>
      </c>
      <c r="AF11" s="40"/>
      <c r="AG11" s="6"/>
      <c r="AH11" s="763"/>
      <c r="AI11" s="6"/>
      <c r="AJ11" s="6"/>
      <c r="AK11" s="7" t="s">
        <v>410</v>
      </c>
      <c r="AL11" s="6"/>
      <c r="AM11" s="6"/>
      <c r="AN11" s="6"/>
      <c r="AO11" s="6"/>
      <c r="AP11" s="6"/>
      <c r="AQ11" s="6"/>
      <c r="AR11" s="6"/>
    </row>
    <row r="12" spans="1:44" ht="21.95" customHeight="1" thickBot="1">
      <c r="A12" s="59"/>
      <c r="B12" s="109" t="s">
        <v>91</v>
      </c>
      <c r="C12" s="767"/>
      <c r="D12" s="111"/>
      <c r="E12" s="763"/>
      <c r="F12" s="763"/>
      <c r="G12" s="763"/>
      <c r="H12" s="763"/>
      <c r="I12" s="763"/>
      <c r="J12" s="763"/>
      <c r="K12" s="763"/>
      <c r="L12" s="763"/>
      <c r="M12" s="763"/>
      <c r="N12" s="763"/>
      <c r="O12" s="763"/>
      <c r="P12" s="763"/>
      <c r="Q12" s="763"/>
      <c r="R12" s="763"/>
      <c r="S12" s="763"/>
      <c r="T12" s="763"/>
      <c r="U12" s="763"/>
      <c r="V12" s="763"/>
      <c r="W12" s="763"/>
      <c r="X12" s="763"/>
      <c r="Y12" s="763"/>
      <c r="Z12" s="763"/>
      <c r="AA12" s="763"/>
      <c r="AB12" s="39"/>
      <c r="AC12" s="39"/>
      <c r="AD12" s="39"/>
      <c r="AE12" s="7" t="s">
        <v>411</v>
      </c>
      <c r="AF12" s="7"/>
      <c r="AG12" s="39"/>
      <c r="AH12" s="763"/>
      <c r="AI12" s="39"/>
      <c r="AJ12" s="39"/>
      <c r="AK12" s="7" t="s">
        <v>412</v>
      </c>
      <c r="AL12" s="39"/>
      <c r="AM12" s="39"/>
      <c r="AN12" s="39"/>
      <c r="AO12" s="39"/>
      <c r="AP12" s="39"/>
      <c r="AQ12" s="39"/>
      <c r="AR12" s="39"/>
    </row>
    <row r="13" spans="1:44" ht="44.1" customHeight="1" thickBot="1">
      <c r="A13" s="59"/>
      <c r="B13" s="908"/>
      <c r="C13" s="909"/>
      <c r="D13" s="910"/>
      <c r="E13" s="763"/>
      <c r="F13" s="763"/>
      <c r="G13" s="763"/>
      <c r="H13" s="763"/>
      <c r="I13" s="763"/>
      <c r="J13" s="763"/>
      <c r="K13" s="763"/>
      <c r="L13" s="763"/>
      <c r="M13" s="763"/>
      <c r="N13" s="763"/>
      <c r="O13" s="763"/>
      <c r="P13" s="763"/>
      <c r="Q13" s="763"/>
      <c r="R13" s="763"/>
      <c r="S13" s="763"/>
      <c r="T13" s="763"/>
      <c r="U13" s="763"/>
      <c r="V13" s="763"/>
      <c r="W13" s="763"/>
      <c r="X13" s="763"/>
      <c r="Y13" s="763"/>
      <c r="Z13" s="763"/>
      <c r="AA13" s="763"/>
      <c r="AB13" s="6"/>
      <c r="AC13" s="6"/>
      <c r="AD13" s="6"/>
      <c r="AE13" s="7" t="s">
        <v>413</v>
      </c>
      <c r="AF13" s="7"/>
      <c r="AG13" s="6"/>
      <c r="AH13" s="7" t="s">
        <v>402</v>
      </c>
      <c r="AI13" s="6"/>
      <c r="AJ13" s="6"/>
      <c r="AK13" s="7" t="s">
        <v>414</v>
      </c>
      <c r="AL13" s="6"/>
      <c r="AM13" s="6"/>
      <c r="AN13" s="6"/>
      <c r="AO13" s="6"/>
      <c r="AP13" s="6"/>
      <c r="AQ13" s="6"/>
      <c r="AR13" s="6"/>
    </row>
    <row r="14" spans="1:44" ht="21.95" customHeight="1" thickBot="1">
      <c r="A14" s="60"/>
      <c r="B14" s="112"/>
      <c r="C14" s="112"/>
      <c r="D14" s="11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6"/>
      <c r="AC14" s="6"/>
      <c r="AD14" s="6"/>
      <c r="AE14" s="763"/>
      <c r="AF14" s="6"/>
      <c r="AG14" s="6"/>
      <c r="AH14" s="7" t="s">
        <v>415</v>
      </c>
      <c r="AI14" s="6"/>
      <c r="AJ14" s="6"/>
      <c r="AK14" s="6"/>
      <c r="AL14" s="6"/>
      <c r="AM14" s="6"/>
      <c r="AN14" s="6"/>
      <c r="AO14" s="6"/>
      <c r="AP14" s="6"/>
      <c r="AQ14" s="6"/>
      <c r="AR14" s="6"/>
    </row>
    <row r="15" spans="1:44" ht="21.95" customHeight="1" thickBot="1">
      <c r="A15" s="1171" t="s">
        <v>416</v>
      </c>
      <c r="B15" s="379"/>
      <c r="C15" s="379"/>
      <c r="D15" s="379"/>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6"/>
      <c r="AC15" s="6"/>
      <c r="AD15" s="6"/>
      <c r="AE15" s="763"/>
      <c r="AF15" s="6"/>
      <c r="AG15" s="6"/>
      <c r="AH15" s="7" t="s">
        <v>417</v>
      </c>
      <c r="AI15" s="6"/>
      <c r="AJ15" s="6"/>
      <c r="AK15" s="6"/>
      <c r="AL15" s="6"/>
      <c r="AM15" s="6"/>
      <c r="AN15" s="6"/>
      <c r="AO15" s="6"/>
      <c r="AP15" s="6"/>
      <c r="AQ15" s="6"/>
      <c r="AR15" s="6"/>
    </row>
    <row r="16" spans="1:44" ht="21.95" customHeight="1" thickBot="1">
      <c r="A16" s="59"/>
      <c r="B16" s="109" t="s">
        <v>91</v>
      </c>
      <c r="C16" s="767"/>
      <c r="D16" s="111"/>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6"/>
      <c r="AC16" s="6"/>
      <c r="AD16" s="6"/>
      <c r="AE16" s="763"/>
      <c r="AF16" s="6"/>
      <c r="AG16" s="763"/>
      <c r="AH16" s="7" t="s">
        <v>418</v>
      </c>
      <c r="AI16" s="6"/>
      <c r="AJ16" s="6"/>
      <c r="AK16" s="6"/>
      <c r="AL16" s="6"/>
      <c r="AM16" s="6"/>
      <c r="AN16" s="6"/>
      <c r="AO16" s="6"/>
      <c r="AP16" s="6"/>
      <c r="AQ16" s="6"/>
      <c r="AR16" s="6"/>
    </row>
    <row r="17" spans="1:44" ht="44.1" customHeight="1" thickBot="1">
      <c r="A17" s="59"/>
      <c r="B17" s="908"/>
      <c r="C17" s="909"/>
      <c r="D17" s="910"/>
      <c r="E17" s="763"/>
      <c r="F17" s="763"/>
      <c r="G17" s="763"/>
      <c r="H17" s="763"/>
      <c r="I17" s="763"/>
      <c r="J17" s="763"/>
      <c r="K17" s="763"/>
      <c r="L17" s="763"/>
      <c r="M17" s="763"/>
      <c r="N17" s="763"/>
      <c r="O17" s="763"/>
      <c r="P17" s="763"/>
      <c r="Q17" s="763"/>
      <c r="R17" s="763"/>
      <c r="S17" s="763"/>
      <c r="T17" s="763"/>
      <c r="U17" s="763"/>
      <c r="V17" s="763"/>
      <c r="W17" s="763"/>
      <c r="X17" s="763"/>
      <c r="Y17" s="763"/>
      <c r="Z17" s="763"/>
      <c r="AA17" s="763"/>
      <c r="AB17" s="6"/>
      <c r="AC17" s="6"/>
      <c r="AD17" s="6"/>
      <c r="AE17" s="763"/>
      <c r="AF17" s="6"/>
      <c r="AG17" s="763"/>
      <c r="AH17" s="7" t="s">
        <v>419</v>
      </c>
      <c r="AI17" s="6"/>
      <c r="AJ17" s="6"/>
      <c r="AK17" s="6"/>
      <c r="AL17" s="6"/>
      <c r="AM17" s="6"/>
      <c r="AN17" s="6"/>
      <c r="AO17" s="6"/>
      <c r="AP17" s="6"/>
      <c r="AQ17" s="6"/>
      <c r="AR17" s="6"/>
    </row>
    <row r="18" spans="1:44" ht="21.95" customHeight="1" thickBot="1">
      <c r="A18" s="60"/>
      <c r="B18" s="112"/>
      <c r="C18" s="112"/>
      <c r="D18" s="113"/>
      <c r="E18" s="763"/>
      <c r="F18" s="763"/>
      <c r="G18" s="763"/>
      <c r="H18" s="763"/>
      <c r="I18" s="763"/>
      <c r="J18" s="763"/>
      <c r="K18" s="763"/>
      <c r="L18" s="763"/>
      <c r="M18" s="763"/>
      <c r="N18" s="763"/>
      <c r="O18" s="763"/>
      <c r="P18" s="763"/>
      <c r="Q18" s="763"/>
      <c r="R18" s="763"/>
      <c r="S18" s="763"/>
      <c r="T18" s="763"/>
      <c r="U18" s="763"/>
      <c r="V18" s="763"/>
      <c r="W18" s="763"/>
      <c r="X18" s="763"/>
      <c r="Y18" s="763"/>
      <c r="Z18" s="763"/>
      <c r="AA18" s="763"/>
      <c r="AB18" s="6"/>
      <c r="AC18" s="6"/>
      <c r="AD18" s="6"/>
      <c r="AE18" s="6"/>
      <c r="AF18" s="6"/>
      <c r="AG18" s="763"/>
      <c r="AH18" s="7" t="s">
        <v>420</v>
      </c>
      <c r="AI18" s="6"/>
      <c r="AJ18" s="6"/>
      <c r="AK18" s="759"/>
      <c r="AL18" s="6"/>
      <c r="AM18" s="6"/>
      <c r="AN18" s="6"/>
      <c r="AO18" s="6"/>
      <c r="AP18" s="6"/>
      <c r="AQ18" s="6"/>
      <c r="AR18" s="6"/>
    </row>
    <row r="19" spans="1:44" ht="21.95" customHeight="1" thickBot="1">
      <c r="A19" s="1171" t="s">
        <v>421</v>
      </c>
      <c r="B19" s="379"/>
      <c r="C19" s="379"/>
      <c r="D19" s="379"/>
      <c r="E19" s="763"/>
      <c r="F19" s="763"/>
      <c r="G19" s="763"/>
      <c r="H19" s="763"/>
      <c r="I19" s="763"/>
      <c r="J19" s="763"/>
      <c r="K19" s="763"/>
      <c r="L19" s="763"/>
      <c r="M19" s="763"/>
      <c r="N19" s="763"/>
      <c r="O19" s="763"/>
      <c r="P19" s="763"/>
      <c r="Q19" s="763"/>
      <c r="R19" s="763"/>
      <c r="S19" s="763"/>
      <c r="T19" s="763"/>
      <c r="U19" s="763"/>
      <c r="V19" s="763"/>
      <c r="W19" s="763"/>
      <c r="X19" s="763"/>
      <c r="Y19" s="763"/>
      <c r="Z19" s="763"/>
      <c r="AA19" s="763"/>
      <c r="AB19" s="6"/>
      <c r="AC19" s="6"/>
      <c r="AD19" s="6"/>
      <c r="AE19" s="6"/>
      <c r="AF19" s="6"/>
      <c r="AG19" s="763"/>
      <c r="AH19" s="7"/>
      <c r="AI19" s="6"/>
      <c r="AJ19" s="6"/>
      <c r="AK19" s="41" t="s">
        <v>402</v>
      </c>
      <c r="AL19" s="6"/>
      <c r="AM19" s="6"/>
      <c r="AN19" s="6"/>
      <c r="AO19" s="6"/>
      <c r="AP19" s="6"/>
      <c r="AQ19" s="6"/>
      <c r="AR19" s="6"/>
    </row>
    <row r="20" spans="1:44" ht="21.95" customHeight="1" thickBot="1">
      <c r="A20" s="59"/>
      <c r="B20" s="109" t="s">
        <v>91</v>
      </c>
      <c r="C20" s="767"/>
      <c r="D20" s="111"/>
      <c r="E20" s="763"/>
      <c r="F20" s="763"/>
      <c r="G20" s="763"/>
      <c r="H20" s="763"/>
      <c r="I20" s="763"/>
      <c r="J20" s="763"/>
      <c r="K20" s="763"/>
      <c r="L20" s="763"/>
      <c r="M20" s="763"/>
      <c r="N20" s="763"/>
      <c r="O20" s="763"/>
      <c r="P20" s="763"/>
      <c r="Q20" s="763"/>
      <c r="R20" s="763"/>
      <c r="S20" s="763"/>
      <c r="T20" s="763"/>
      <c r="U20" s="763"/>
      <c r="V20" s="763"/>
      <c r="W20" s="763"/>
      <c r="X20" s="763"/>
      <c r="Y20" s="763"/>
      <c r="Z20" s="763"/>
      <c r="AA20" s="763"/>
      <c r="AB20" s="6"/>
      <c r="AC20" s="6"/>
      <c r="AD20" s="6"/>
      <c r="AE20" s="6"/>
      <c r="AF20" s="6"/>
      <c r="AG20" s="763"/>
      <c r="AH20" s="7"/>
      <c r="AI20" s="6"/>
      <c r="AJ20" s="6"/>
      <c r="AK20" s="41" t="s">
        <v>405</v>
      </c>
      <c r="AL20" s="6"/>
      <c r="AM20" s="6"/>
      <c r="AN20" s="6"/>
      <c r="AO20" s="6"/>
      <c r="AP20" s="6"/>
      <c r="AQ20" s="6"/>
      <c r="AR20" s="6"/>
    </row>
    <row r="21" spans="1:44" ht="44.1" customHeight="1" thickBot="1">
      <c r="A21" s="59"/>
      <c r="B21" s="908"/>
      <c r="C21" s="909"/>
      <c r="D21" s="910"/>
      <c r="E21" s="763"/>
      <c r="F21" s="763"/>
      <c r="G21" s="763"/>
      <c r="H21" s="763"/>
      <c r="I21" s="763"/>
      <c r="J21" s="763"/>
      <c r="K21" s="763"/>
      <c r="L21" s="763"/>
      <c r="M21" s="763"/>
      <c r="N21" s="763"/>
      <c r="O21" s="763"/>
      <c r="P21" s="763"/>
      <c r="Q21" s="763"/>
      <c r="R21" s="763"/>
      <c r="S21" s="763"/>
      <c r="T21" s="763"/>
      <c r="U21" s="763"/>
      <c r="V21" s="763"/>
      <c r="W21" s="763"/>
      <c r="X21" s="763"/>
      <c r="Y21" s="763"/>
      <c r="Z21" s="763"/>
      <c r="AA21" s="763"/>
      <c r="AB21" s="6"/>
      <c r="AC21" s="6"/>
      <c r="AD21" s="6"/>
      <c r="AE21" s="763"/>
      <c r="AF21" s="6"/>
      <c r="AG21" s="763"/>
      <c r="AH21" s="7" t="s">
        <v>402</v>
      </c>
      <c r="AI21" s="6"/>
      <c r="AJ21" s="6"/>
      <c r="AK21" s="41" t="s">
        <v>422</v>
      </c>
      <c r="AL21" s="6"/>
      <c r="AM21" s="6"/>
      <c r="AN21" s="6"/>
      <c r="AO21" s="6"/>
      <c r="AP21" s="6"/>
      <c r="AQ21" s="6"/>
      <c r="AR21" s="6"/>
    </row>
    <row r="22" spans="1:44" ht="21.95" customHeight="1">
      <c r="A22" s="60"/>
      <c r="B22" s="175"/>
      <c r="C22" s="61"/>
      <c r="D22" s="62"/>
      <c r="E22" s="763"/>
      <c r="F22" s="763"/>
      <c r="G22" s="763"/>
      <c r="H22" s="763"/>
      <c r="I22" s="763"/>
      <c r="J22" s="763"/>
      <c r="K22" s="763"/>
      <c r="L22" s="763"/>
      <c r="M22" s="763"/>
      <c r="N22" s="763"/>
      <c r="O22" s="763"/>
      <c r="P22" s="763"/>
      <c r="Q22" s="763"/>
      <c r="R22" s="763"/>
      <c r="S22" s="763"/>
      <c r="T22" s="763"/>
      <c r="U22" s="763"/>
      <c r="V22" s="763"/>
      <c r="W22" s="763"/>
      <c r="X22" s="763"/>
      <c r="Y22" s="763"/>
      <c r="Z22" s="763"/>
      <c r="AA22" s="763"/>
      <c r="AB22" s="6"/>
      <c r="AC22" s="6"/>
      <c r="AD22" s="6"/>
      <c r="AE22" s="763"/>
      <c r="AF22" s="6"/>
      <c r="AG22" s="763"/>
      <c r="AH22" s="7" t="s">
        <v>405</v>
      </c>
      <c r="AI22" s="6"/>
      <c r="AJ22" s="6"/>
      <c r="AK22" s="7" t="s">
        <v>423</v>
      </c>
      <c r="AL22" s="6"/>
      <c r="AM22" s="6"/>
      <c r="AN22" s="6"/>
      <c r="AO22" s="6"/>
      <c r="AP22" s="6"/>
      <c r="AQ22" s="6"/>
      <c r="AR22" s="6"/>
    </row>
    <row r="23" spans="1:44" ht="21.95" customHeight="1" thickBot="1">
      <c r="A23" s="1172" t="s">
        <v>424</v>
      </c>
      <c r="B23" s="733"/>
      <c r="C23" s="733"/>
      <c r="D23" s="1173"/>
      <c r="E23" s="763"/>
      <c r="F23" s="763"/>
      <c r="G23" s="763"/>
      <c r="H23" s="763"/>
      <c r="I23" s="763"/>
      <c r="J23" s="763"/>
      <c r="K23" s="763"/>
      <c r="L23" s="763"/>
      <c r="M23" s="763"/>
      <c r="N23" s="763"/>
      <c r="O23" s="763"/>
      <c r="P23" s="763"/>
      <c r="Q23" s="763"/>
      <c r="R23" s="763"/>
      <c r="S23" s="763"/>
      <c r="T23" s="763"/>
      <c r="U23" s="763"/>
      <c r="V23" s="763"/>
      <c r="W23" s="763"/>
      <c r="X23" s="763"/>
      <c r="Y23" s="763"/>
      <c r="Z23" s="763"/>
      <c r="AA23" s="763"/>
      <c r="AB23" s="6"/>
      <c r="AC23" s="6"/>
      <c r="AD23" s="6"/>
      <c r="AE23" s="763"/>
      <c r="AF23" s="7"/>
      <c r="AG23" s="6"/>
      <c r="AH23" s="7"/>
      <c r="AI23" s="6"/>
      <c r="AJ23" s="6"/>
      <c r="AK23" s="7" t="s">
        <v>425</v>
      </c>
      <c r="AL23" s="6"/>
      <c r="AM23" s="6"/>
      <c r="AN23" s="6"/>
      <c r="AO23" s="6"/>
      <c r="AP23" s="6"/>
      <c r="AQ23" s="6"/>
      <c r="AR23" s="6"/>
    </row>
    <row r="24" spans="1:44" ht="21.95" customHeight="1" thickBot="1">
      <c r="A24" s="59"/>
      <c r="B24" s="379" t="s">
        <v>426</v>
      </c>
      <c r="C24" s="379" t="s">
        <v>427</v>
      </c>
      <c r="D24" s="379"/>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6"/>
      <c r="AC24" s="6"/>
      <c r="AD24" s="6"/>
      <c r="AE24" s="763"/>
      <c r="AF24" s="7"/>
      <c r="AG24" s="6"/>
      <c r="AH24" s="6"/>
      <c r="AI24" s="6"/>
      <c r="AJ24" s="6"/>
      <c r="AK24" s="7" t="s">
        <v>428</v>
      </c>
      <c r="AL24" s="6"/>
      <c r="AM24" s="6"/>
      <c r="AN24" s="6"/>
      <c r="AO24" s="6"/>
      <c r="AP24" s="6"/>
      <c r="AQ24" s="6"/>
      <c r="AR24" s="6"/>
    </row>
    <row r="25" spans="1:44" ht="21.95" customHeight="1" thickBot="1">
      <c r="A25" s="59"/>
      <c r="B25" s="109" t="s">
        <v>91</v>
      </c>
      <c r="C25" s="767"/>
      <c r="D25" s="111"/>
      <c r="E25" s="763"/>
      <c r="F25" s="763"/>
      <c r="G25" s="763"/>
      <c r="H25" s="763"/>
      <c r="I25" s="763"/>
      <c r="J25" s="763"/>
      <c r="K25" s="763"/>
      <c r="L25" s="763"/>
      <c r="M25" s="763"/>
      <c r="N25" s="763"/>
      <c r="O25" s="763"/>
      <c r="P25" s="763"/>
      <c r="Q25" s="763"/>
      <c r="R25" s="763"/>
      <c r="S25" s="763"/>
      <c r="T25" s="763"/>
      <c r="U25" s="763"/>
      <c r="V25" s="763"/>
      <c r="W25" s="763"/>
      <c r="X25" s="763"/>
      <c r="Y25" s="763"/>
      <c r="Z25" s="763"/>
      <c r="AA25" s="763"/>
      <c r="AB25" s="6"/>
      <c r="AC25" s="6"/>
      <c r="AD25" s="6"/>
      <c r="AE25" s="763"/>
      <c r="AF25" s="7"/>
      <c r="AG25" s="7" t="s">
        <v>402</v>
      </c>
      <c r="AH25" s="6"/>
      <c r="AI25" s="6"/>
      <c r="AJ25" s="6"/>
      <c r="AK25" s="6"/>
      <c r="AL25" s="6"/>
      <c r="AM25" s="6"/>
      <c r="AN25" s="6"/>
      <c r="AO25" s="6"/>
      <c r="AP25" s="6"/>
      <c r="AQ25" s="6"/>
      <c r="AR25" s="6"/>
    </row>
    <row r="26" spans="1:44" ht="44.1" customHeight="1" thickBot="1">
      <c r="A26" s="59"/>
      <c r="B26" s="908"/>
      <c r="C26" s="909"/>
      <c r="D26" s="910"/>
      <c r="E26" s="763"/>
      <c r="F26" s="763"/>
      <c r="G26" s="763"/>
      <c r="H26" s="763"/>
      <c r="I26" s="763"/>
      <c r="J26" s="763"/>
      <c r="K26" s="763"/>
      <c r="L26" s="763"/>
      <c r="M26" s="763"/>
      <c r="N26" s="763"/>
      <c r="O26" s="763"/>
      <c r="P26" s="763"/>
      <c r="Q26" s="763"/>
      <c r="R26" s="763"/>
      <c r="S26" s="763"/>
      <c r="T26" s="763"/>
      <c r="U26" s="763"/>
      <c r="V26" s="763"/>
      <c r="W26" s="763"/>
      <c r="X26" s="763"/>
      <c r="Y26" s="763"/>
      <c r="Z26" s="763"/>
      <c r="AA26" s="763"/>
      <c r="AB26" s="6"/>
      <c r="AC26" s="6"/>
      <c r="AD26" s="6"/>
      <c r="AE26" s="7"/>
      <c r="AF26" s="7"/>
      <c r="AG26" s="7" t="s">
        <v>405</v>
      </c>
      <c r="AH26" s="6"/>
      <c r="AI26" s="6"/>
      <c r="AJ26" s="6"/>
      <c r="AK26" s="6"/>
      <c r="AL26" s="6"/>
      <c r="AM26" s="6"/>
      <c r="AN26" s="6"/>
      <c r="AO26" s="6"/>
      <c r="AP26" s="6"/>
      <c r="AQ26" s="6"/>
      <c r="AR26" s="6"/>
    </row>
    <row r="27" spans="1:44" ht="21.95" customHeight="1">
      <c r="A27" s="60"/>
      <c r="B27" s="112"/>
      <c r="C27" s="112"/>
      <c r="D27" s="113"/>
      <c r="E27" s="763"/>
      <c r="F27" s="763"/>
      <c r="G27" s="763"/>
      <c r="H27" s="763"/>
      <c r="I27" s="763"/>
      <c r="J27" s="763"/>
      <c r="K27" s="763"/>
      <c r="L27" s="763"/>
      <c r="M27" s="763"/>
      <c r="N27" s="763"/>
      <c r="O27" s="763"/>
      <c r="P27" s="763"/>
      <c r="Q27" s="763"/>
      <c r="R27" s="763"/>
      <c r="S27" s="763"/>
      <c r="T27" s="763"/>
      <c r="U27" s="763"/>
      <c r="V27" s="763"/>
      <c r="W27" s="763"/>
      <c r="X27" s="763"/>
      <c r="Y27" s="763"/>
      <c r="Z27" s="763"/>
      <c r="AA27" s="763"/>
      <c r="AB27" s="6"/>
      <c r="AC27" s="6"/>
      <c r="AD27" s="6"/>
      <c r="AE27" s="763"/>
      <c r="AF27" s="7"/>
      <c r="AG27" s="7" t="s">
        <v>426</v>
      </c>
      <c r="AH27" s="6"/>
      <c r="AI27" s="6"/>
      <c r="AJ27" s="6"/>
      <c r="AK27" s="7"/>
      <c r="AL27" s="6"/>
      <c r="AM27" s="6"/>
      <c r="AN27" s="6"/>
      <c r="AO27" s="6"/>
      <c r="AP27" s="6"/>
      <c r="AQ27" s="6"/>
      <c r="AR27" s="6"/>
    </row>
    <row r="28" spans="1:44" ht="21.95" customHeight="1">
      <c r="A28" s="1171" t="s">
        <v>429</v>
      </c>
      <c r="B28" s="733"/>
      <c r="C28" s="733"/>
      <c r="D28" s="1173"/>
      <c r="E28" s="763"/>
      <c r="F28" s="763"/>
      <c r="G28" s="763"/>
      <c r="H28" s="763"/>
      <c r="I28" s="763"/>
      <c r="J28" s="763"/>
      <c r="K28" s="763"/>
      <c r="L28" s="763"/>
      <c r="M28" s="763"/>
      <c r="N28" s="763"/>
      <c r="O28" s="763"/>
      <c r="P28" s="763"/>
      <c r="Q28" s="763"/>
      <c r="R28" s="763"/>
      <c r="S28" s="763"/>
      <c r="T28" s="763"/>
      <c r="U28" s="763"/>
      <c r="V28" s="763"/>
      <c r="W28" s="763"/>
      <c r="X28" s="763"/>
      <c r="Y28" s="763"/>
      <c r="Z28" s="763"/>
      <c r="AA28" s="763"/>
      <c r="AB28" s="6"/>
      <c r="AC28" s="6"/>
      <c r="AD28" s="6"/>
      <c r="AE28" s="763"/>
      <c r="AF28" s="7"/>
      <c r="AG28" s="7" t="s">
        <v>430</v>
      </c>
      <c r="AH28" s="6"/>
      <c r="AI28" s="6"/>
      <c r="AJ28" s="6"/>
      <c r="AK28" s="41" t="s">
        <v>402</v>
      </c>
      <c r="AL28" s="6"/>
      <c r="AM28" s="6"/>
      <c r="AN28" s="6"/>
      <c r="AO28" s="6"/>
      <c r="AP28" s="6"/>
      <c r="AQ28" s="6"/>
      <c r="AR28" s="6"/>
    </row>
    <row r="29" spans="1:44" ht="21.95" customHeight="1" thickBot="1">
      <c r="A29" s="59"/>
      <c r="B29" s="109" t="s">
        <v>91</v>
      </c>
      <c r="C29" s="767"/>
      <c r="D29" s="111"/>
      <c r="E29" s="763"/>
      <c r="F29" s="763"/>
      <c r="G29" s="763"/>
      <c r="H29" s="763"/>
      <c r="I29" s="763"/>
      <c r="J29" s="763"/>
      <c r="K29" s="763"/>
      <c r="L29" s="763"/>
      <c r="M29" s="763"/>
      <c r="N29" s="763"/>
      <c r="O29" s="763"/>
      <c r="P29" s="763"/>
      <c r="Q29" s="763"/>
      <c r="R29" s="763"/>
      <c r="S29" s="763"/>
      <c r="T29" s="763"/>
      <c r="U29" s="763"/>
      <c r="V29" s="763"/>
      <c r="W29" s="763"/>
      <c r="X29" s="763"/>
      <c r="Y29" s="763"/>
      <c r="Z29" s="763"/>
      <c r="AA29" s="763"/>
      <c r="AB29" s="6"/>
      <c r="AC29" s="6"/>
      <c r="AD29" s="6"/>
      <c r="AE29" s="763"/>
      <c r="AF29" s="7"/>
      <c r="AG29" s="7" t="s">
        <v>427</v>
      </c>
      <c r="AH29" s="6"/>
      <c r="AI29" s="6"/>
      <c r="AJ29" s="6"/>
      <c r="AK29" s="41" t="s">
        <v>405</v>
      </c>
      <c r="AL29" s="6"/>
      <c r="AM29" s="6"/>
      <c r="AN29" s="6"/>
      <c r="AO29" s="6"/>
      <c r="AP29" s="6"/>
      <c r="AQ29" s="6"/>
      <c r="AR29" s="6"/>
    </row>
    <row r="30" spans="1:44" ht="44.1" customHeight="1" thickBot="1">
      <c r="A30" s="59"/>
      <c r="B30" s="908"/>
      <c r="C30" s="909"/>
      <c r="D30" s="910"/>
      <c r="E30" s="763"/>
      <c r="F30" s="763"/>
      <c r="G30" s="763"/>
      <c r="H30" s="763"/>
      <c r="I30" s="763"/>
      <c r="J30" s="763"/>
      <c r="K30" s="763"/>
      <c r="L30" s="763"/>
      <c r="M30" s="763"/>
      <c r="N30" s="763"/>
      <c r="O30" s="763"/>
      <c r="P30" s="763"/>
      <c r="Q30" s="763"/>
      <c r="R30" s="763"/>
      <c r="S30" s="763"/>
      <c r="T30" s="763"/>
      <c r="U30" s="763"/>
      <c r="V30" s="763"/>
      <c r="W30" s="763"/>
      <c r="X30" s="763"/>
      <c r="Y30" s="763"/>
      <c r="Z30" s="763"/>
      <c r="AA30" s="763"/>
      <c r="AB30" s="6"/>
      <c r="AC30" s="6"/>
      <c r="AD30" s="6"/>
      <c r="AE30" s="7" t="s">
        <v>431</v>
      </c>
      <c r="AF30" s="7"/>
      <c r="AG30" s="6"/>
      <c r="AH30" s="6"/>
      <c r="AI30" s="6"/>
      <c r="AJ30" s="6"/>
      <c r="AK30" s="41" t="s">
        <v>422</v>
      </c>
      <c r="AL30" s="6"/>
      <c r="AM30" s="6"/>
      <c r="AN30" s="6"/>
      <c r="AO30" s="6"/>
      <c r="AP30" s="6"/>
      <c r="AQ30" s="6"/>
      <c r="AR30" s="6"/>
    </row>
    <row r="31" spans="1:44" ht="21.95" customHeight="1" thickBot="1">
      <c r="A31" s="60"/>
      <c r="B31" s="112"/>
      <c r="C31" s="112"/>
      <c r="D31" s="113"/>
      <c r="E31" s="763"/>
      <c r="F31" s="763"/>
      <c r="G31" s="763"/>
      <c r="H31" s="763"/>
      <c r="I31" s="763"/>
      <c r="J31" s="763"/>
      <c r="K31" s="763"/>
      <c r="L31" s="763"/>
      <c r="M31" s="763"/>
      <c r="N31" s="763"/>
      <c r="O31" s="763"/>
      <c r="P31" s="763"/>
      <c r="Q31" s="763"/>
      <c r="R31" s="763"/>
      <c r="S31" s="763"/>
      <c r="T31" s="763"/>
      <c r="U31" s="763"/>
      <c r="V31" s="763"/>
      <c r="W31" s="763"/>
      <c r="X31" s="763"/>
      <c r="Y31" s="763"/>
      <c r="Z31" s="763"/>
      <c r="AA31" s="763"/>
      <c r="AB31" s="6"/>
      <c r="AC31" s="6"/>
      <c r="AD31" s="6"/>
      <c r="AE31" s="7" t="s">
        <v>432</v>
      </c>
      <c r="AF31" s="7"/>
      <c r="AG31" s="6"/>
      <c r="AH31" s="6"/>
      <c r="AI31" s="6"/>
      <c r="AJ31" s="6"/>
      <c r="AK31" s="41" t="s">
        <v>433</v>
      </c>
      <c r="AL31" s="6"/>
      <c r="AM31" s="6"/>
      <c r="AN31" s="6"/>
      <c r="AO31" s="6"/>
      <c r="AP31" s="6"/>
      <c r="AQ31" s="6"/>
      <c r="AR31" s="6"/>
    </row>
    <row r="32" spans="1:44" ht="21.95" customHeight="1" thickBot="1">
      <c r="A32" s="1172" t="s">
        <v>434</v>
      </c>
      <c r="B32" s="379"/>
      <c r="C32" s="379"/>
      <c r="D32" s="379"/>
      <c r="E32" s="763"/>
      <c r="F32" s="763"/>
      <c r="G32" s="763"/>
      <c r="H32" s="763"/>
      <c r="I32" s="763"/>
      <c r="J32" s="763"/>
      <c r="K32" s="763"/>
      <c r="L32" s="763"/>
      <c r="M32" s="763"/>
      <c r="N32" s="763"/>
      <c r="O32" s="763"/>
      <c r="P32" s="763"/>
      <c r="Q32" s="763"/>
      <c r="R32" s="763"/>
      <c r="S32" s="763"/>
      <c r="T32" s="763"/>
      <c r="U32" s="763"/>
      <c r="V32" s="763"/>
      <c r="W32" s="763"/>
      <c r="X32" s="763"/>
      <c r="Y32" s="763"/>
      <c r="Z32" s="763"/>
      <c r="AA32" s="763"/>
      <c r="AB32" s="6"/>
      <c r="AC32" s="6"/>
      <c r="AD32" s="6"/>
      <c r="AE32" s="7" t="s">
        <v>435</v>
      </c>
      <c r="AF32" s="7"/>
      <c r="AG32" s="7" t="s">
        <v>402</v>
      </c>
      <c r="AH32" s="6"/>
      <c r="AI32" s="6"/>
      <c r="AJ32" s="6"/>
      <c r="AK32" s="41" t="s">
        <v>436</v>
      </c>
      <c r="AL32" s="6"/>
      <c r="AM32" s="6"/>
      <c r="AN32" s="6"/>
      <c r="AO32" s="6"/>
      <c r="AP32" s="6"/>
      <c r="AQ32" s="6"/>
      <c r="AR32" s="6"/>
    </row>
    <row r="33" spans="1:44" ht="21.95" customHeight="1" thickBot="1">
      <c r="A33" s="59"/>
      <c r="B33" s="109" t="s">
        <v>91</v>
      </c>
      <c r="C33" s="767"/>
      <c r="D33" s="111"/>
      <c r="E33" s="763"/>
      <c r="F33" s="763"/>
      <c r="G33" s="763"/>
      <c r="H33" s="763"/>
      <c r="I33" s="763"/>
      <c r="J33" s="763"/>
      <c r="K33" s="763"/>
      <c r="L33" s="763"/>
      <c r="M33" s="763"/>
      <c r="N33" s="763"/>
      <c r="O33" s="763"/>
      <c r="P33" s="763"/>
      <c r="Q33" s="763"/>
      <c r="R33" s="763"/>
      <c r="S33" s="763"/>
      <c r="T33" s="763"/>
      <c r="U33" s="763"/>
      <c r="V33" s="763"/>
      <c r="W33" s="763"/>
      <c r="X33" s="763"/>
      <c r="Y33" s="763"/>
      <c r="Z33" s="763"/>
      <c r="AA33" s="763"/>
      <c r="AB33" s="6"/>
      <c r="AC33" s="6"/>
      <c r="AD33" s="6"/>
      <c r="AE33" s="7"/>
      <c r="AF33" s="7"/>
      <c r="AG33" s="7" t="s">
        <v>405</v>
      </c>
      <c r="AH33" s="6"/>
      <c r="AI33" s="6"/>
      <c r="AJ33" s="6"/>
      <c r="AK33" s="41" t="s">
        <v>437</v>
      </c>
      <c r="AL33" s="6"/>
      <c r="AM33" s="6"/>
      <c r="AN33" s="6"/>
      <c r="AO33" s="6"/>
      <c r="AP33" s="6"/>
      <c r="AQ33" s="6"/>
      <c r="AR33" s="6"/>
    </row>
    <row r="34" spans="1:44" ht="44.1" customHeight="1" thickBot="1">
      <c r="A34" s="59"/>
      <c r="B34" s="908"/>
      <c r="C34" s="909"/>
      <c r="D34" s="910"/>
      <c r="E34" s="763"/>
      <c r="F34" s="763"/>
      <c r="G34" s="763"/>
      <c r="H34" s="763"/>
      <c r="I34" s="763"/>
      <c r="J34" s="763"/>
      <c r="K34" s="763"/>
      <c r="L34" s="763"/>
      <c r="M34" s="763"/>
      <c r="N34" s="763"/>
      <c r="O34" s="763"/>
      <c r="P34" s="763"/>
      <c r="Q34" s="763"/>
      <c r="R34" s="763"/>
      <c r="S34" s="763"/>
      <c r="T34" s="763"/>
      <c r="U34" s="763"/>
      <c r="V34" s="763"/>
      <c r="W34" s="763"/>
      <c r="X34" s="763"/>
      <c r="Y34" s="763"/>
      <c r="Z34" s="763"/>
      <c r="AA34" s="763"/>
      <c r="AB34" s="6"/>
      <c r="AC34" s="6"/>
      <c r="AD34" s="6"/>
      <c r="AE34" s="7"/>
      <c r="AF34" s="7"/>
      <c r="AG34" s="7" t="s">
        <v>422</v>
      </c>
      <c r="AH34" s="6"/>
      <c r="AI34" s="6"/>
      <c r="AJ34" s="6"/>
      <c r="AK34" s="41" t="s">
        <v>438</v>
      </c>
      <c r="AL34" s="6"/>
      <c r="AM34" s="6"/>
      <c r="AN34" s="6"/>
      <c r="AO34" s="6"/>
      <c r="AP34" s="6"/>
      <c r="AQ34" s="6"/>
      <c r="AR34" s="6"/>
    </row>
    <row r="35" spans="1:44" ht="21.95" customHeight="1">
      <c r="A35" s="60"/>
      <c r="B35" s="61"/>
      <c r="C35" s="61"/>
      <c r="D35" s="62"/>
      <c r="E35" s="763"/>
      <c r="F35" s="763"/>
      <c r="G35" s="763"/>
      <c r="H35" s="763"/>
      <c r="I35" s="763"/>
      <c r="J35" s="763"/>
      <c r="K35" s="763"/>
      <c r="L35" s="763"/>
      <c r="M35" s="763"/>
      <c r="N35" s="763"/>
      <c r="O35" s="763"/>
      <c r="P35" s="763"/>
      <c r="Q35" s="763"/>
      <c r="R35" s="763"/>
      <c r="S35" s="763"/>
      <c r="T35" s="763"/>
      <c r="U35" s="763"/>
      <c r="V35" s="763"/>
      <c r="W35" s="763"/>
      <c r="X35" s="763"/>
      <c r="Y35" s="763"/>
      <c r="Z35" s="763"/>
      <c r="AA35" s="763"/>
      <c r="AB35" s="6"/>
      <c r="AC35" s="6"/>
      <c r="AD35" s="6"/>
      <c r="AE35" s="7"/>
      <c r="AF35" s="7"/>
      <c r="AG35" s="6" t="s">
        <v>439</v>
      </c>
      <c r="AH35" s="6"/>
      <c r="AI35" s="6"/>
      <c r="AJ35" s="6"/>
      <c r="AK35" s="41" t="s">
        <v>440</v>
      </c>
      <c r="AL35" s="6"/>
      <c r="AM35" s="6"/>
      <c r="AN35" s="6"/>
      <c r="AO35" s="6"/>
      <c r="AP35" s="6"/>
      <c r="AQ35" s="6"/>
      <c r="AR35" s="6"/>
    </row>
    <row r="36" spans="1:44" ht="21.95" customHeight="1" thickBot="1">
      <c r="A36" s="1172" t="s">
        <v>441</v>
      </c>
      <c r="B36" s="733"/>
      <c r="C36" s="733"/>
      <c r="D36" s="1173"/>
      <c r="E36" s="763"/>
      <c r="F36" s="763"/>
      <c r="G36" s="763"/>
      <c r="H36" s="763"/>
      <c r="I36" s="763"/>
      <c r="J36" s="763"/>
      <c r="K36" s="763"/>
      <c r="L36" s="763"/>
      <c r="M36" s="763"/>
      <c r="N36" s="763"/>
      <c r="O36" s="763"/>
      <c r="P36" s="763"/>
      <c r="Q36" s="763"/>
      <c r="R36" s="763"/>
      <c r="S36" s="763"/>
      <c r="T36" s="763"/>
      <c r="U36" s="763"/>
      <c r="V36" s="763"/>
      <c r="W36" s="763"/>
      <c r="X36" s="763"/>
      <c r="Y36" s="763"/>
      <c r="Z36" s="763"/>
      <c r="AA36" s="763"/>
      <c r="AB36" s="6"/>
      <c r="AC36" s="6"/>
      <c r="AD36" s="6"/>
      <c r="AE36" s="763"/>
      <c r="AF36" s="763"/>
      <c r="AG36" s="6"/>
      <c r="AH36" s="6"/>
      <c r="AI36" s="6"/>
      <c r="AJ36" s="6"/>
      <c r="AK36" s="41" t="s">
        <v>442</v>
      </c>
      <c r="AL36" s="6"/>
      <c r="AM36" s="6"/>
      <c r="AN36" s="6"/>
      <c r="AO36" s="6"/>
      <c r="AP36" s="6"/>
      <c r="AQ36" s="6"/>
      <c r="AR36" s="6"/>
    </row>
    <row r="37" spans="1:44" ht="44.1" customHeight="1" thickBot="1">
      <c r="A37" s="59"/>
      <c r="B37" s="908"/>
      <c r="C37" s="909"/>
      <c r="D37" s="910"/>
      <c r="E37" s="763"/>
      <c r="F37" s="763"/>
      <c r="G37" s="763"/>
      <c r="H37" s="763"/>
      <c r="I37" s="763"/>
      <c r="J37" s="763"/>
      <c r="K37" s="763"/>
      <c r="L37" s="763"/>
      <c r="M37" s="763"/>
      <c r="N37" s="763"/>
      <c r="O37" s="763"/>
      <c r="P37" s="763"/>
      <c r="Q37" s="763"/>
      <c r="R37" s="763"/>
      <c r="S37" s="763"/>
      <c r="T37" s="763"/>
      <c r="U37" s="763"/>
      <c r="V37" s="763"/>
      <c r="W37" s="763"/>
      <c r="X37" s="763"/>
      <c r="Y37" s="763"/>
      <c r="Z37" s="763"/>
      <c r="AA37" s="763"/>
      <c r="AB37" s="6"/>
      <c r="AC37" s="6"/>
      <c r="AD37" s="6"/>
      <c r="AE37" s="763"/>
      <c r="AF37" s="763"/>
      <c r="AG37" s="6"/>
      <c r="AH37" s="6"/>
      <c r="AI37" s="6"/>
      <c r="AJ37" s="6"/>
      <c r="AK37" s="41" t="s">
        <v>443</v>
      </c>
      <c r="AL37" s="6"/>
      <c r="AM37" s="6"/>
      <c r="AN37" s="6"/>
      <c r="AO37" s="6"/>
      <c r="AP37" s="6"/>
      <c r="AQ37" s="6"/>
      <c r="AR37" s="6"/>
    </row>
    <row r="38" spans="1:44" ht="21.95" customHeight="1">
      <c r="A38" s="60"/>
      <c r="B38" s="112"/>
      <c r="C38" s="112"/>
      <c r="D38" s="113"/>
      <c r="E38" s="763"/>
      <c r="F38" s="763"/>
      <c r="G38" s="763"/>
      <c r="H38" s="763"/>
      <c r="I38" s="763"/>
      <c r="J38" s="763"/>
      <c r="K38" s="763"/>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6"/>
      <c r="AI38" s="763"/>
      <c r="AJ38" s="763"/>
      <c r="AK38" s="41" t="s">
        <v>444</v>
      </c>
      <c r="AL38" s="763"/>
      <c r="AM38" s="763"/>
      <c r="AN38" s="763"/>
      <c r="AO38" s="763"/>
      <c r="AP38" s="763"/>
      <c r="AQ38" s="763"/>
      <c r="AR38" s="763"/>
    </row>
    <row r="39" spans="1:44" ht="12.75" customHeight="1">
      <c r="A39" s="763"/>
      <c r="B39" s="763"/>
      <c r="C39" s="763"/>
      <c r="D39" s="784"/>
      <c r="E39" s="763"/>
      <c r="F39" s="763"/>
      <c r="G39" s="763"/>
      <c r="H39" s="763"/>
      <c r="I39" s="763"/>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763"/>
      <c r="AJ39" s="763"/>
      <c r="AK39" s="763"/>
      <c r="AL39" s="763"/>
      <c r="AM39" s="763"/>
      <c r="AN39" s="763"/>
      <c r="AO39" s="763"/>
      <c r="AP39" s="763"/>
      <c r="AQ39" s="763"/>
      <c r="AR39" s="763"/>
    </row>
  </sheetData>
  <sheetProtection autoFilter="0"/>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'P-Overview'!$AD$5:$AD$165</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pageSetUpPr fitToPage="1"/>
  </sheetPr>
  <dimension ref="A1:IP63"/>
  <sheetViews>
    <sheetView showGridLines="0" workbookViewId="0">
      <selection activeCell="D8" sqref="D8"/>
    </sheetView>
  </sheetViews>
  <sheetFormatPr defaultColWidth="9.140625" defaultRowHeight="12.75"/>
  <cols>
    <col min="1" max="1" width="11.7109375" style="15" customWidth="1"/>
    <col min="2" max="2" width="4.28515625" style="15" customWidth="1"/>
    <col min="3" max="3" width="23.85546875" style="15" customWidth="1"/>
    <col min="4" max="4" width="48.85546875" style="15" customWidth="1"/>
    <col min="5" max="8" width="31.7109375" style="15" customWidth="1"/>
    <col min="9" max="9" width="2.28515625" style="15" customWidth="1"/>
    <col min="10" max="10" width="22.7109375" style="15" customWidth="1"/>
    <col min="11" max="11" width="13.42578125" style="15" customWidth="1"/>
    <col min="12" max="12" width="15.28515625" bestFit="1" customWidth="1"/>
    <col min="13" max="13" width="12.7109375" customWidth="1"/>
    <col min="14" max="14" width="19.7109375" bestFit="1" customWidth="1"/>
    <col min="17" max="16384" width="9.140625" style="15"/>
  </cols>
  <sheetData>
    <row r="1" spans="1:250" s="100" customFormat="1" ht="18" customHeight="1">
      <c r="A1" s="762" t="s">
        <v>48</v>
      </c>
      <c r="L1" s="759"/>
      <c r="M1" s="759"/>
      <c r="N1" s="759"/>
      <c r="O1" s="759"/>
      <c r="P1" s="759"/>
    </row>
    <row r="2" spans="1:250" ht="18" customHeight="1">
      <c r="B2" s="16"/>
      <c r="C2" s="16"/>
      <c r="D2" s="16"/>
      <c r="E2" s="17"/>
      <c r="H2" s="17"/>
      <c r="L2" s="759"/>
      <c r="M2" s="759"/>
      <c r="N2" s="759"/>
      <c r="O2" s="759"/>
      <c r="P2" s="759"/>
      <c r="AA2" s="15" t="s">
        <v>160</v>
      </c>
    </row>
    <row r="3" spans="1:250" ht="18" customHeight="1">
      <c r="A3" s="24" t="s">
        <v>445</v>
      </c>
      <c r="D3" s="45"/>
      <c r="F3" s="18"/>
      <c r="L3" s="759"/>
      <c r="M3" s="759"/>
      <c r="N3" s="759"/>
      <c r="O3" s="759"/>
      <c r="P3" s="759"/>
      <c r="AA3" s="15" t="s">
        <v>284</v>
      </c>
    </row>
    <row r="4" spans="1:250" ht="18" customHeight="1">
      <c r="A4" s="918" t="s">
        <v>446</v>
      </c>
      <c r="B4" s="918"/>
      <c r="C4" s="863"/>
      <c r="D4" s="424"/>
      <c r="F4" s="18"/>
      <c r="L4" s="759"/>
      <c r="M4" s="759"/>
      <c r="N4" s="759"/>
      <c r="O4" s="759"/>
      <c r="P4" s="759"/>
    </row>
    <row r="5" spans="1:250" ht="18" customHeight="1">
      <c r="A5" s="918" t="s">
        <v>447</v>
      </c>
      <c r="B5" s="918"/>
      <c r="C5" s="863"/>
      <c r="D5" s="424"/>
      <c r="E5" s="759"/>
      <c r="F5" s="759"/>
      <c r="G5" s="759"/>
      <c r="H5" s="759"/>
      <c r="L5" s="759"/>
      <c r="M5" s="759"/>
      <c r="N5" s="759"/>
      <c r="O5" s="759"/>
      <c r="P5" s="759"/>
    </row>
    <row r="6" spans="1:250" ht="18" customHeight="1">
      <c r="A6" s="918" t="s">
        <v>448</v>
      </c>
      <c r="B6" s="918"/>
      <c r="C6" s="863"/>
      <c r="D6" s="424"/>
      <c r="E6" s="759"/>
      <c r="F6" s="759"/>
      <c r="G6" s="759"/>
      <c r="H6" s="759"/>
      <c r="L6" s="759"/>
      <c r="M6" s="759"/>
      <c r="N6" s="759"/>
      <c r="O6" s="759"/>
      <c r="P6" s="759"/>
    </row>
    <row r="7" spans="1:250" ht="18" customHeight="1">
      <c r="A7" s="281" t="s">
        <v>449</v>
      </c>
      <c r="B7" s="781"/>
      <c r="C7" s="782"/>
      <c r="D7" s="426"/>
      <c r="E7" s="759"/>
      <c r="F7" s="759"/>
      <c r="G7" s="759"/>
      <c r="H7" s="759"/>
      <c r="L7" s="759"/>
      <c r="M7" s="759"/>
      <c r="N7" s="759"/>
      <c r="O7" s="759"/>
      <c r="P7" s="759"/>
    </row>
    <row r="8" spans="1:250" ht="18" customHeight="1">
      <c r="A8" s="918" t="s">
        <v>450</v>
      </c>
      <c r="B8" s="918"/>
      <c r="C8" s="921"/>
      <c r="D8" s="426"/>
      <c r="E8" s="759"/>
      <c r="F8" s="759"/>
      <c r="G8" s="759"/>
      <c r="H8" s="759"/>
      <c r="L8" s="759"/>
      <c r="M8" s="759"/>
      <c r="N8" s="759"/>
      <c r="O8" s="759"/>
      <c r="P8" s="759"/>
    </row>
    <row r="9" spans="1:250" ht="18" customHeight="1">
      <c r="A9" s="922" t="s">
        <v>451</v>
      </c>
      <c r="B9" s="922"/>
      <c r="C9" s="921"/>
      <c r="D9" s="19"/>
      <c r="L9" s="759"/>
      <c r="M9" s="759"/>
      <c r="N9" s="759"/>
      <c r="O9" s="759"/>
      <c r="P9" s="759"/>
    </row>
    <row r="10" spans="1:250" ht="18" customHeight="1" thickBot="1">
      <c r="C10" s="128"/>
      <c r="D10" s="759"/>
      <c r="L10" s="759"/>
      <c r="M10" s="759"/>
      <c r="N10" s="759"/>
      <c r="O10" s="759"/>
      <c r="P10" s="759"/>
    </row>
    <row r="11" spans="1:250" s="5" customFormat="1" ht="18" customHeight="1" thickBot="1">
      <c r="A11" s="29"/>
      <c r="B11" s="29"/>
      <c r="C11" s="29"/>
      <c r="D11" s="29"/>
      <c r="E11" s="912" t="s">
        <v>452</v>
      </c>
      <c r="F11" s="913"/>
      <c r="G11" s="913"/>
      <c r="H11" s="914"/>
      <c r="I11" s="29"/>
      <c r="J11" s="29"/>
      <c r="K11" s="29"/>
      <c r="L11" s="759"/>
      <c r="M11" s="759"/>
      <c r="N11" s="759"/>
      <c r="O11" s="759"/>
      <c r="P11" s="75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row>
    <row r="12" spans="1:250" s="5" customFormat="1" ht="33" customHeight="1" thickBot="1">
      <c r="A12" s="29"/>
      <c r="B12" s="29"/>
      <c r="C12" s="29"/>
      <c r="D12" s="29"/>
      <c r="E12" s="371" t="s">
        <v>453</v>
      </c>
      <c r="F12" s="371" t="s">
        <v>454</v>
      </c>
      <c r="G12" s="371" t="s">
        <v>455</v>
      </c>
      <c r="H12" s="372" t="s">
        <v>456</v>
      </c>
      <c r="I12" s="29"/>
      <c r="J12" s="29"/>
      <c r="K12" s="29"/>
      <c r="L12" s="759"/>
      <c r="M12" s="759"/>
      <c r="N12" s="759"/>
      <c r="O12" s="759"/>
      <c r="P12" s="75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row>
    <row r="13" spans="1:250" s="5" customFormat="1" ht="33" customHeight="1" thickBot="1">
      <c r="A13" s="29"/>
      <c r="B13" s="29"/>
      <c r="C13" s="29"/>
      <c r="D13" s="29"/>
      <c r="E13" s="763"/>
      <c r="F13" s="119"/>
      <c r="G13" s="119"/>
      <c r="H13" s="380"/>
      <c r="I13" s="29"/>
      <c r="J13" s="29"/>
      <c r="K13" s="29"/>
      <c r="L13" s="759"/>
      <c r="M13" s="759"/>
      <c r="N13" s="759"/>
      <c r="O13" s="759"/>
      <c r="P13" s="75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row>
    <row r="14" spans="1:250" s="5" customFormat="1" ht="18" customHeight="1">
      <c r="A14" s="118" t="s">
        <v>457</v>
      </c>
      <c r="B14" s="29"/>
      <c r="C14" s="29"/>
      <c r="D14" s="29"/>
      <c r="E14" s="368" t="str">
        <f>"Cell "&amp;ADDRESS(ROW(D4),COLUMN(D4))&amp;" to be filled in first for the fillable  form below to be available to fill."</f>
        <v>Cell $D$4 to be filled in first for the fillable  form below to be available to fill.</v>
      </c>
      <c r="F14" s="367"/>
      <c r="G14" s="367"/>
      <c r="H14" s="119"/>
      <c r="I14" s="29"/>
      <c r="J14" s="29"/>
      <c r="K14" s="29"/>
      <c r="L14" s="759"/>
      <c r="M14" s="759"/>
      <c r="N14" s="759"/>
      <c r="O14" s="759"/>
      <c r="P14" s="75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row>
    <row r="15" spans="1:250" s="5" customFormat="1" ht="18" customHeight="1">
      <c r="A15" s="118"/>
      <c r="B15" s="29" t="s">
        <v>458</v>
      </c>
      <c r="C15" s="29" t="s">
        <v>459</v>
      </c>
      <c r="D15" s="29"/>
      <c r="E15" s="262"/>
      <c r="F15" s="262"/>
      <c r="G15" s="262"/>
      <c r="H15" s="365">
        <f>D6</f>
        <v>0</v>
      </c>
      <c r="I15" s="29"/>
      <c r="J15" s="29"/>
      <c r="K15" s="29"/>
      <c r="L15" s="759"/>
      <c r="M15" s="759"/>
      <c r="N15" s="759"/>
      <c r="O15" s="759"/>
      <c r="P15" s="75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row>
    <row r="16" spans="1:250" s="5" customFormat="1" ht="18" customHeight="1">
      <c r="A16" s="118"/>
      <c r="B16" s="29" t="s">
        <v>460</v>
      </c>
      <c r="C16" s="29" t="s">
        <v>461</v>
      </c>
      <c r="D16" s="29" t="s">
        <v>32</v>
      </c>
      <c r="E16" s="262"/>
      <c r="F16" s="262"/>
      <c r="G16" s="262"/>
      <c r="H16" s="783"/>
      <c r="I16" s="29"/>
      <c r="J16" s="763"/>
      <c r="K16" s="29"/>
      <c r="L16" s="759"/>
      <c r="M16" s="759"/>
      <c r="N16" s="759"/>
      <c r="O16" s="759"/>
      <c r="P16" s="75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row>
    <row r="17" spans="1:250" s="5" customFormat="1" ht="18" customHeight="1">
      <c r="A17" s="118"/>
      <c r="B17" s="29" t="s">
        <v>462</v>
      </c>
      <c r="C17" s="29" t="s">
        <v>463</v>
      </c>
      <c r="D17" s="29"/>
      <c r="E17" s="262"/>
      <c r="F17" s="262"/>
      <c r="G17" s="262"/>
      <c r="H17" s="783" t="str">
        <f>"Richmond, VA (HCI: "&amp;INDEX('P-HCI'!$A$5:$HD$34,MATCH(MAX('P-HCI'!$A$5:$A$34),'P-HCI'!$A$5:$A$34,0),MATCH("Richmond",'P-HCI'!$A$5:$HD$5,0))&amp;")"</f>
        <v>Richmond, VA (HCI: 264.6)</v>
      </c>
      <c r="I17" s="29"/>
      <c r="J17" s="323" t="s">
        <v>464</v>
      </c>
      <c r="K17" s="29"/>
      <c r="L17" s="312"/>
      <c r="M17" s="759"/>
      <c r="N17" s="759"/>
      <c r="O17" s="759"/>
      <c r="P17" s="75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row>
    <row r="18" spans="1:250" s="5" customFormat="1" ht="18" customHeight="1">
      <c r="A18" s="118"/>
      <c r="B18" s="29" t="s">
        <v>465</v>
      </c>
      <c r="C18" s="29" t="s">
        <v>466</v>
      </c>
      <c r="D18" s="29"/>
      <c r="E18" s="261"/>
      <c r="F18" s="261"/>
      <c r="G18" s="261"/>
      <c r="H18" s="783"/>
      <c r="I18" s="29"/>
      <c r="J18" s="29"/>
      <c r="K18" s="29"/>
      <c r="L18" s="311"/>
      <c r="M18" s="759"/>
      <c r="N18" s="759"/>
      <c r="O18" s="759"/>
      <c r="P18" s="75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row>
    <row r="19" spans="1:250" s="5" customFormat="1" ht="18" customHeight="1">
      <c r="A19" s="118"/>
      <c r="B19" s="29"/>
      <c r="C19" s="29"/>
      <c r="D19" s="29"/>
      <c r="E19" s="29"/>
      <c r="F19" s="29"/>
      <c r="G19" s="29"/>
      <c r="H19" s="783"/>
      <c r="I19" s="29"/>
      <c r="J19" s="29"/>
      <c r="K19" s="29"/>
      <c r="L19" s="311"/>
      <c r="M19" s="310"/>
      <c r="N19" s="759"/>
      <c r="O19" s="759"/>
      <c r="P19" s="75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row>
    <row r="20" spans="1:250" s="5" customFormat="1" ht="18" customHeight="1">
      <c r="A20" s="118" t="s">
        <v>467</v>
      </c>
      <c r="B20" s="29"/>
      <c r="C20" s="29"/>
      <c r="D20" s="29"/>
      <c r="E20" s="29"/>
      <c r="F20" s="29"/>
      <c r="G20" s="29"/>
      <c r="H20" s="783"/>
      <c r="I20" s="29"/>
      <c r="J20" s="763"/>
      <c r="K20" s="29"/>
      <c r="L20" s="311"/>
      <c r="M20" s="759"/>
      <c r="N20" s="759"/>
      <c r="O20" s="759"/>
      <c r="P20" s="75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row>
    <row r="21" spans="1:250" s="5" customFormat="1" ht="18" customHeight="1">
      <c r="A21" s="118"/>
      <c r="B21" s="29" t="s">
        <v>468</v>
      </c>
      <c r="C21" s="29" t="s">
        <v>469</v>
      </c>
      <c r="D21" s="29"/>
      <c r="E21" s="362"/>
      <c r="F21" s="362"/>
      <c r="G21" s="363"/>
      <c r="H21" s="366">
        <f>IFERROR(_xlfn.XLOOKUP($D$6,'VBCCD Table'!$E$8:$E$66,'VBCCD Table'!$J$8:$J$66,,0),0)</f>
        <v>0</v>
      </c>
      <c r="I21" s="29"/>
      <c r="J21" s="763"/>
      <c r="K21" s="29"/>
      <c r="L21" s="311"/>
      <c r="M21" s="759"/>
      <c r="N21" s="759"/>
      <c r="O21" s="759"/>
      <c r="P21" s="75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row>
    <row r="22" spans="1:250" s="5" customFormat="1" ht="18" customHeight="1">
      <c r="A22" s="118"/>
      <c r="B22" s="29" t="s">
        <v>470</v>
      </c>
      <c r="C22" s="29" t="s">
        <v>471</v>
      </c>
      <c r="D22" s="29"/>
      <c r="E22" s="374"/>
      <c r="F22" s="374"/>
      <c r="G22" s="374"/>
      <c r="H22" s="375">
        <f>IFERROR(_xlfn.XLOOKUP($D$6,'VBCCD Table'!$E$8:$E$66,'VBCCD Table'!$L$8:$L$66,,0),0)</f>
        <v>0</v>
      </c>
      <c r="I22" s="29"/>
      <c r="J22" s="29"/>
      <c r="K22" s="29"/>
      <c r="L22" s="311"/>
      <c r="M22" s="759"/>
      <c r="N22" s="759"/>
      <c r="O22" s="759"/>
      <c r="P22" s="75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row>
    <row r="23" spans="1:250" s="5" customFormat="1" ht="18" customHeight="1">
      <c r="A23" s="118"/>
      <c r="B23" s="29" t="s">
        <v>472</v>
      </c>
      <c r="C23" s="29" t="s">
        <v>473</v>
      </c>
      <c r="D23" s="323"/>
      <c r="E23" s="1174"/>
      <c r="F23" s="1175"/>
      <c r="G23" s="1175"/>
      <c r="H23" s="1176"/>
      <c r="I23" s="29"/>
      <c r="J23" s="29"/>
      <c r="K23" s="29"/>
      <c r="L23" s="311"/>
      <c r="M23" s="759"/>
      <c r="N23" s="759"/>
      <c r="O23" s="759"/>
      <c r="P23" s="75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row>
    <row r="24" spans="1:250" s="5" customFormat="1" ht="18" customHeight="1">
      <c r="A24" s="118"/>
      <c r="B24" s="29" t="s">
        <v>474</v>
      </c>
      <c r="C24" s="29" t="s">
        <v>475</v>
      </c>
      <c r="D24" s="29"/>
      <c r="E24" s="376"/>
      <c r="F24" s="376"/>
      <c r="G24" s="377"/>
      <c r="H24" s="759"/>
      <c r="I24" s="29"/>
      <c r="J24" s="29"/>
      <c r="K24" s="29"/>
      <c r="L24" s="311"/>
      <c r="M24" s="759"/>
      <c r="N24" s="759"/>
      <c r="O24" s="759"/>
      <c r="P24" s="75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row>
    <row r="25" spans="1:250" s="5" customFormat="1" ht="18" customHeight="1">
      <c r="A25" s="118"/>
      <c r="B25" s="29" t="s">
        <v>476</v>
      </c>
      <c r="C25" s="29" t="s">
        <v>477</v>
      </c>
      <c r="D25" s="29"/>
      <c r="E25" s="120"/>
      <c r="F25" s="120"/>
      <c r="G25" s="120"/>
      <c r="H25" s="759"/>
      <c r="I25" s="29"/>
      <c r="J25" s="29"/>
      <c r="K25" s="29"/>
      <c r="L25" s="759"/>
      <c r="M25" s="759"/>
      <c r="N25" s="759"/>
      <c r="O25" s="759"/>
      <c r="P25" s="75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row>
    <row r="26" spans="1:250" s="5" customFormat="1" ht="18" customHeight="1">
      <c r="A26" s="118"/>
      <c r="B26" s="29"/>
      <c r="C26" s="29"/>
      <c r="D26" s="29"/>
      <c r="E26" s="29"/>
      <c r="F26" s="29"/>
      <c r="G26" s="29"/>
      <c r="H26" s="96"/>
      <c r="I26" s="29"/>
      <c r="J26" s="29"/>
      <c r="K26" s="29"/>
      <c r="L26" s="759"/>
      <c r="M26" s="759"/>
      <c r="N26" s="759"/>
      <c r="O26" s="759"/>
      <c r="P26" s="75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row>
    <row r="27" spans="1:250" s="5" customFormat="1" ht="18" customHeight="1">
      <c r="A27" s="118" t="s">
        <v>478</v>
      </c>
      <c r="B27" s="29"/>
      <c r="C27" s="29"/>
      <c r="D27" s="29"/>
      <c r="E27" s="29"/>
      <c r="F27" s="29"/>
      <c r="G27" s="29"/>
      <c r="H27" s="783"/>
      <c r="I27" s="29"/>
      <c r="J27" s="29"/>
      <c r="K27" s="29"/>
      <c r="L27" s="759"/>
      <c r="M27" s="759"/>
      <c r="N27" s="759"/>
      <c r="O27" s="759"/>
      <c r="P27" s="75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row>
    <row r="28" spans="1:250" s="5" customFormat="1" ht="18" customHeight="1">
      <c r="A28" s="118"/>
      <c r="B28" s="29"/>
      <c r="C28" s="29"/>
      <c r="D28" s="326"/>
      <c r="E28" s="29" t="s">
        <v>479</v>
      </c>
      <c r="F28" s="29" t="s">
        <v>479</v>
      </c>
      <c r="G28" s="29" t="s">
        <v>479</v>
      </c>
      <c r="H28" s="783"/>
      <c r="I28" s="29"/>
      <c r="J28" s="763"/>
      <c r="K28" s="29"/>
      <c r="L28" s="759"/>
      <c r="M28" s="759"/>
      <c r="N28" s="759"/>
      <c r="O28" s="759"/>
      <c r="P28" s="75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row>
    <row r="29" spans="1:250" s="5" customFormat="1" ht="18" customHeight="1">
      <c r="A29" s="118"/>
      <c r="B29" s="29" t="s">
        <v>480</v>
      </c>
      <c r="C29" s="29" t="s">
        <v>481</v>
      </c>
      <c r="D29" s="29"/>
      <c r="E29" s="21"/>
      <c r="F29" s="21"/>
      <c r="G29" s="21"/>
      <c r="H29" s="783"/>
      <c r="I29" s="29"/>
      <c r="J29" s="6"/>
      <c r="K29" s="296"/>
      <c r="L29" s="759"/>
      <c r="M29" s="759"/>
      <c r="N29" s="759"/>
      <c r="O29" s="759"/>
      <c r="P29" s="75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row>
    <row r="30" spans="1:250" s="5" customFormat="1" ht="18" customHeight="1">
      <c r="A30" s="118"/>
      <c r="B30" s="29" t="s">
        <v>482</v>
      </c>
      <c r="C30" s="29" t="s">
        <v>483</v>
      </c>
      <c r="D30" s="29"/>
      <c r="E30" s="21"/>
      <c r="F30" s="21"/>
      <c r="G30" s="21"/>
      <c r="H30" s="783"/>
      <c r="I30" s="29"/>
      <c r="J30" s="29"/>
      <c r="K30" s="296"/>
      <c r="L30" s="759"/>
      <c r="M30" s="759"/>
      <c r="N30" s="759"/>
      <c r="O30" s="759"/>
      <c r="P30" s="75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row>
    <row r="31" spans="1:250" s="5" customFormat="1" ht="18" customHeight="1">
      <c r="A31" s="29"/>
      <c r="B31" s="29" t="s">
        <v>484</v>
      </c>
      <c r="C31" s="29" t="s">
        <v>485</v>
      </c>
      <c r="D31" s="29"/>
      <c r="E31" s="121">
        <f>IF(OR(E29="",E22=""),0,(E29+E30)/E22)</f>
        <v>0</v>
      </c>
      <c r="F31" s="121">
        <f t="shared" ref="F31:G31" si="0">IF(OR(F29="",F22=""),0,(F29+F30)/F22)</f>
        <v>0</v>
      </c>
      <c r="G31" s="121">
        <f t="shared" si="0"/>
        <v>0</v>
      </c>
      <c r="H31" s="783"/>
      <c r="I31" s="29"/>
      <c r="J31" s="29"/>
      <c r="K31" s="296"/>
      <c r="L31" s="759"/>
      <c r="M31" s="759"/>
      <c r="N31" s="759"/>
      <c r="O31" s="759"/>
      <c r="P31" s="75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row>
    <row r="32" spans="1:250" s="5" customFormat="1" ht="18" customHeight="1">
      <c r="A32" s="29"/>
      <c r="B32" s="29"/>
      <c r="C32" s="29"/>
      <c r="D32" s="29"/>
      <c r="E32" s="783"/>
      <c r="F32" s="783"/>
      <c r="G32" s="783"/>
      <c r="H32" s="763"/>
      <c r="I32" s="29"/>
      <c r="J32" s="29"/>
      <c r="K32" s="29"/>
      <c r="L32" s="193"/>
      <c r="M32" s="759"/>
      <c r="N32" s="759"/>
      <c r="O32" s="759"/>
      <c r="P32" s="75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row>
    <row r="33" spans="1:250" s="5" customFormat="1" ht="18" customHeight="1">
      <c r="A33" s="118" t="s">
        <v>486</v>
      </c>
      <c r="B33" s="29"/>
      <c r="C33" s="29"/>
      <c r="D33" s="29"/>
      <c r="E33" s="122"/>
      <c r="F33" s="122"/>
      <c r="G33" s="122"/>
      <c r="H33" s="783"/>
      <c r="I33" s="29"/>
      <c r="J33" s="29"/>
      <c r="K33" s="29"/>
      <c r="L33" s="759"/>
      <c r="M33" s="759"/>
      <c r="N33" s="759"/>
      <c r="O33" s="759"/>
      <c r="P33" s="75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row>
    <row r="34" spans="1:250" s="5" customFormat="1" ht="18" customHeight="1">
      <c r="A34" s="123"/>
      <c r="B34" s="29" t="s">
        <v>487</v>
      </c>
      <c r="C34" s="29" t="s">
        <v>488</v>
      </c>
      <c r="D34" s="29"/>
      <c r="E34" s="22"/>
      <c r="F34" s="22"/>
      <c r="G34" s="22"/>
      <c r="H34" s="122">
        <f>INDEX('P-HCI'!$A$5:$HD$34,MATCH(MAX('P-HCI'!$A$5:$A$34),'P-HCI'!$A$5:$A$34,0),MATCH("Richmond",'P-HCI'!$A$5:$HD$5,0))</f>
        <v>264.60000000000002</v>
      </c>
      <c r="I34" s="29"/>
      <c r="J34" s="323" t="s">
        <v>464</v>
      </c>
      <c r="K34" s="29"/>
      <c r="L34" s="759"/>
      <c r="M34" s="759"/>
      <c r="N34" s="759"/>
      <c r="O34" s="759"/>
      <c r="P34" s="75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row>
    <row r="35" spans="1:250" s="5" customFormat="1" ht="33" customHeight="1">
      <c r="A35" s="29"/>
      <c r="B35" s="29" t="s">
        <v>489</v>
      </c>
      <c r="C35" s="915" t="s">
        <v>490</v>
      </c>
      <c r="D35" s="916"/>
      <c r="E35" s="121">
        <f>IF(E34="",0,($D$9/E34)*E31)</f>
        <v>0</v>
      </c>
      <c r="F35" s="121">
        <f t="shared" ref="F35:G35" si="1">IF(F34="",0,($D$9/F34)*F31)</f>
        <v>0</v>
      </c>
      <c r="G35" s="121">
        <f t="shared" si="1"/>
        <v>0</v>
      </c>
      <c r="H35" s="121">
        <f>IFERROR(_xlfn.XLOOKUP($D$6,'VBCCD Table'!$E$8:$E$66,'VBCCD Table'!$M$8:$M$66,,0),0)*D9/H34</f>
        <v>0</v>
      </c>
      <c r="I35" s="29"/>
      <c r="J35" s="29"/>
      <c r="K35" s="29"/>
      <c r="L35" s="759"/>
      <c r="M35" s="759"/>
      <c r="N35" s="759"/>
      <c r="O35" s="759"/>
      <c r="P35" s="75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row>
    <row r="36" spans="1:250" s="5" customFormat="1" ht="18" customHeight="1">
      <c r="A36" s="29"/>
      <c r="B36" s="29"/>
      <c r="C36" s="29"/>
      <c r="D36" s="29"/>
      <c r="E36" s="124"/>
      <c r="F36" s="124"/>
      <c r="G36" s="124"/>
      <c r="H36" s="124"/>
      <c r="I36" s="29"/>
      <c r="J36" s="29"/>
      <c r="K36" s="29"/>
      <c r="L36" s="759"/>
      <c r="M36" s="759"/>
      <c r="N36" s="759"/>
      <c r="O36" s="759"/>
      <c r="P36" s="75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row>
    <row r="37" spans="1:250" s="5" customFormat="1" ht="18" customHeight="1">
      <c r="A37" s="118" t="s">
        <v>491</v>
      </c>
      <c r="B37" s="29"/>
      <c r="C37" s="29"/>
      <c r="D37" s="29"/>
      <c r="E37" s="783"/>
      <c r="F37" s="783"/>
      <c r="G37" s="783"/>
      <c r="H37" s="783"/>
      <c r="I37" s="29"/>
      <c r="J37" s="29"/>
      <c r="K37" s="29"/>
      <c r="L37" s="759"/>
      <c r="M37" s="759"/>
      <c r="N37" s="759"/>
      <c r="O37" s="759"/>
      <c r="P37" s="75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row>
    <row r="38" spans="1:250" s="5" customFormat="1" ht="18" customHeight="1">
      <c r="A38" s="915" t="s">
        <v>492</v>
      </c>
      <c r="B38" s="915"/>
      <c r="C38" s="915"/>
      <c r="D38" s="915"/>
      <c r="E38" s="917"/>
      <c r="F38" s="917"/>
      <c r="G38" s="917"/>
      <c r="H38" s="917"/>
      <c r="I38" s="29"/>
      <c r="J38" s="29"/>
      <c r="K38" s="29"/>
      <c r="L38" s="759"/>
      <c r="M38" s="759"/>
      <c r="N38" s="759"/>
      <c r="O38" s="759"/>
      <c r="P38" s="75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row>
    <row r="39" spans="1:250" s="5" customFormat="1" ht="18" customHeight="1">
      <c r="A39" s="783"/>
      <c r="B39" s="783"/>
      <c r="C39" s="783"/>
      <c r="D39" s="783" t="s">
        <v>493</v>
      </c>
      <c r="E39" s="122" t="s">
        <v>494</v>
      </c>
      <c r="F39" s="122" t="s">
        <v>494</v>
      </c>
      <c r="G39" s="122" t="s">
        <v>494</v>
      </c>
      <c r="H39" s="122" t="s">
        <v>494</v>
      </c>
      <c r="I39" s="29"/>
      <c r="J39" s="29"/>
      <c r="K39" s="29"/>
      <c r="L39" s="759"/>
      <c r="M39" s="759"/>
      <c r="N39" s="759"/>
      <c r="O39" s="759"/>
      <c r="P39" s="75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row>
    <row r="40" spans="1:250" s="5" customFormat="1" ht="18" customHeight="1">
      <c r="A40" s="29"/>
      <c r="B40" s="29" t="s">
        <v>495</v>
      </c>
      <c r="C40" s="29" t="s">
        <v>496</v>
      </c>
      <c r="D40" s="120"/>
      <c r="E40" s="373"/>
      <c r="F40" s="373"/>
      <c r="G40" s="373"/>
      <c r="H40" s="373"/>
      <c r="I40" s="29"/>
      <c r="J40" s="29"/>
      <c r="K40" s="29"/>
      <c r="L40" s="759"/>
      <c r="M40" s="759"/>
      <c r="N40" s="759"/>
      <c r="O40" s="759"/>
      <c r="P40" s="75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row>
    <row r="41" spans="1:250" s="5" customFormat="1" ht="18" customHeight="1">
      <c r="A41" s="29"/>
      <c r="B41" s="29" t="s">
        <v>497</v>
      </c>
      <c r="C41" s="29" t="s">
        <v>498</v>
      </c>
      <c r="D41" s="120"/>
      <c r="E41" s="373"/>
      <c r="F41" s="373"/>
      <c r="G41" s="373"/>
      <c r="H41" s="373"/>
      <c r="I41" s="29"/>
      <c r="J41" s="29"/>
      <c r="K41" s="29"/>
      <c r="L41" s="759"/>
      <c r="M41" s="759"/>
      <c r="N41" s="759"/>
      <c r="O41" s="759"/>
      <c r="P41" s="75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row>
    <row r="42" spans="1:250" s="5" customFormat="1" ht="18" customHeight="1">
      <c r="A42" s="29"/>
      <c r="B42" s="29" t="s">
        <v>499</v>
      </c>
      <c r="C42" s="29" t="s">
        <v>500</v>
      </c>
      <c r="D42" s="120"/>
      <c r="E42" s="373"/>
      <c r="F42" s="373"/>
      <c r="G42" s="373"/>
      <c r="H42" s="373"/>
      <c r="I42" s="29"/>
      <c r="J42" s="29"/>
      <c r="K42" s="29"/>
      <c r="L42" s="759"/>
      <c r="M42" s="759"/>
      <c r="N42" s="759"/>
      <c r="O42" s="759"/>
      <c r="P42" s="75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row>
    <row r="43" spans="1:250" s="5" customFormat="1" ht="18" customHeight="1">
      <c r="A43" s="29"/>
      <c r="B43" s="29" t="s">
        <v>501</v>
      </c>
      <c r="C43" s="29" t="s">
        <v>502</v>
      </c>
      <c r="D43" s="120"/>
      <c r="E43" s="373"/>
      <c r="F43" s="373"/>
      <c r="G43" s="373"/>
      <c r="H43" s="373"/>
      <c r="I43" s="29"/>
      <c r="J43" s="29"/>
      <c r="K43" s="29"/>
      <c r="L43" s="759"/>
      <c r="M43" s="759"/>
      <c r="N43" s="759"/>
      <c r="O43" s="759"/>
      <c r="P43" s="75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row>
    <row r="44" spans="1:250" s="5" customFormat="1" ht="18" customHeight="1">
      <c r="A44" s="29"/>
      <c r="B44" s="29"/>
      <c r="C44" s="29"/>
      <c r="D44" s="29"/>
      <c r="E44" s="29"/>
      <c r="F44" s="29"/>
      <c r="G44" s="29"/>
      <c r="H44" s="29"/>
      <c r="I44" s="29"/>
      <c r="J44" s="29"/>
      <c r="K44" s="29"/>
      <c r="L44" s="759"/>
      <c r="M44" s="759"/>
      <c r="N44" s="759"/>
      <c r="O44" s="759"/>
      <c r="P44" s="75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row>
    <row r="45" spans="1:250" s="5" customFormat="1" ht="18" customHeight="1">
      <c r="A45" s="118" t="s">
        <v>503</v>
      </c>
      <c r="B45" s="29"/>
      <c r="C45" s="29"/>
      <c r="D45" s="29"/>
      <c r="E45" s="121">
        <f>IF(E35="","",E35+SUM(E40:E43))</f>
        <v>0</v>
      </c>
      <c r="F45" s="121">
        <f>IF(F35="","",F35+SUM(F40:F43))</f>
        <v>0</v>
      </c>
      <c r="G45" s="121">
        <f>IF(G35="","",G35+SUM(G40:G43))</f>
        <v>0</v>
      </c>
      <c r="H45" s="121">
        <f>IF(H35="","",H35+SUM(H40:H43))</f>
        <v>0</v>
      </c>
      <c r="I45" s="29"/>
      <c r="J45" s="29"/>
      <c r="K45" s="29"/>
      <c r="L45" s="759"/>
      <c r="M45" s="759"/>
      <c r="N45" s="759"/>
      <c r="O45" s="759"/>
      <c r="P45" s="75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row>
    <row r="46" spans="1:250" s="5" customFormat="1" ht="18" customHeight="1">
      <c r="A46" s="29"/>
      <c r="B46" s="29"/>
      <c r="C46" s="29"/>
      <c r="D46" s="783"/>
      <c r="E46" s="124"/>
      <c r="F46" s="124"/>
      <c r="G46" s="124"/>
      <c r="H46" s="124"/>
      <c r="I46" s="29"/>
      <c r="J46" s="29"/>
      <c r="K46" s="29"/>
      <c r="L46" s="759"/>
      <c r="M46" s="759"/>
      <c r="N46" s="759"/>
      <c r="O46" s="759"/>
      <c r="P46" s="75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row>
    <row r="47" spans="1:250" s="5" customFormat="1" ht="18" customHeight="1" thickBot="1">
      <c r="A47" s="118" t="s">
        <v>504</v>
      </c>
      <c r="B47" s="29"/>
      <c r="C47" s="29"/>
      <c r="D47" s="783"/>
      <c r="E47" s="783"/>
      <c r="F47" s="783"/>
      <c r="G47" s="783"/>
      <c r="H47" s="783"/>
      <c r="I47" s="29"/>
      <c r="J47" s="29"/>
      <c r="K47" s="29"/>
      <c r="L47" s="759"/>
      <c r="M47" s="759"/>
      <c r="N47" s="759"/>
      <c r="O47" s="759"/>
      <c r="P47" s="75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row>
    <row r="48" spans="1:250" s="5" customFormat="1" ht="18" customHeight="1" thickBot="1">
      <c r="A48" s="29"/>
      <c r="B48" s="29" t="s">
        <v>505</v>
      </c>
      <c r="C48" s="29" t="s">
        <v>506</v>
      </c>
      <c r="D48" s="29"/>
      <c r="E48" s="125">
        <f>IF(E45="","",E45)</f>
        <v>0</v>
      </c>
      <c r="F48" s="126">
        <f>IF(F45="","",F45)</f>
        <v>0</v>
      </c>
      <c r="G48" s="126">
        <f>IF(G45="","",G45)</f>
        <v>0</v>
      </c>
      <c r="H48" s="127">
        <f>IF(H45="","",H45)</f>
        <v>0</v>
      </c>
      <c r="I48" s="29"/>
      <c r="J48" s="29"/>
      <c r="K48" s="29"/>
      <c r="L48" s="759"/>
      <c r="M48" s="759"/>
      <c r="N48" s="759"/>
      <c r="O48" s="759"/>
      <c r="P48" s="75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row>
    <row r="49" spans="1:250" s="5" customFormat="1" ht="33" customHeight="1" thickBot="1">
      <c r="A49" s="29"/>
      <c r="B49" s="280" t="s">
        <v>507</v>
      </c>
      <c r="C49" s="919" t="s">
        <v>508</v>
      </c>
      <c r="D49" s="920"/>
      <c r="E49" s="319" t="e">
        <f t="array" ref="E49">(SUM(IF(E34:G34&lt;&gt;0,(E29:G29)*D9/(E34:G34)))+SUMPRODUCT(($E$40:$G$43)*($E$22:$G$22))+SUM(H35,(H40:H43))*H22*($H$13="Yes"))/(SUM(E22:G22)+SUMIF(H13,"Yes",H22))</f>
        <v>#DIV/0!</v>
      </c>
      <c r="F49" s="320"/>
      <c r="G49" s="320"/>
      <c r="H49" s="321"/>
      <c r="I49" s="29"/>
      <c r="J49" s="29"/>
      <c r="K49" s="29"/>
      <c r="L49" s="318"/>
      <c r="M49" s="759"/>
      <c r="N49" s="759"/>
      <c r="O49" s="759"/>
      <c r="P49" s="75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row>
    <row r="50" spans="1:250" s="5" customFormat="1" ht="18" customHeight="1">
      <c r="A50" s="29"/>
      <c r="B50" s="29"/>
      <c r="C50" s="29"/>
      <c r="D50" s="29"/>
      <c r="E50" s="783"/>
      <c r="F50" s="783"/>
      <c r="G50" s="783"/>
      <c r="H50" s="783"/>
      <c r="I50" s="29"/>
      <c r="J50" s="29"/>
      <c r="K50" s="29"/>
      <c r="L50" s="759"/>
      <c r="M50" s="759"/>
      <c r="N50" s="759"/>
      <c r="O50" s="759"/>
      <c r="P50" s="75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row>
    <row r="51" spans="1:250" ht="18" customHeight="1">
      <c r="G51" s="267"/>
      <c r="L51" s="759"/>
      <c r="M51" s="759"/>
      <c r="N51" s="759"/>
      <c r="O51" s="759"/>
      <c r="P51" s="759"/>
    </row>
    <row r="52" spans="1:250" ht="18" customHeight="1">
      <c r="E52" s="35"/>
      <c r="F52" s="296"/>
      <c r="G52" s="35"/>
      <c r="H52" s="35"/>
      <c r="L52" s="318"/>
      <c r="M52" s="759"/>
      <c r="N52" s="759"/>
      <c r="O52" s="759"/>
      <c r="P52" s="759"/>
    </row>
    <row r="53" spans="1:250" ht="18" customHeight="1">
      <c r="D53" s="279"/>
      <c r="E53" s="759"/>
      <c r="F53" s="759"/>
      <c r="G53" s="759"/>
      <c r="H53" s="759"/>
      <c r="L53" s="759"/>
      <c r="M53" s="759"/>
      <c r="N53" s="759"/>
      <c r="O53" s="759"/>
      <c r="P53" s="759"/>
    </row>
    <row r="54" spans="1:250" customFormat="1" ht="18" customHeight="1">
      <c r="A54" s="759"/>
      <c r="B54" s="759"/>
      <c r="C54" s="759"/>
      <c r="D54" s="759"/>
      <c r="E54" s="759"/>
      <c r="F54" s="317"/>
      <c r="G54" s="759"/>
      <c r="H54" s="759"/>
      <c r="I54" s="759"/>
      <c r="J54" s="759"/>
      <c r="K54" s="759"/>
      <c r="L54" s="310"/>
      <c r="M54" s="759"/>
      <c r="N54" s="759"/>
      <c r="O54" s="759"/>
      <c r="P54" s="759"/>
      <c r="Q54" s="759"/>
      <c r="R54" s="759"/>
      <c r="S54" s="759"/>
      <c r="T54" s="759"/>
      <c r="U54" s="759"/>
      <c r="V54" s="759"/>
      <c r="W54" s="759"/>
      <c r="X54" s="759"/>
      <c r="Y54" s="759"/>
      <c r="Z54" s="759"/>
      <c r="AA54" s="759"/>
      <c r="AB54" s="759"/>
      <c r="AC54" s="759"/>
      <c r="AD54" s="759"/>
      <c r="AE54" s="759"/>
      <c r="AF54" s="759"/>
      <c r="AG54" s="759"/>
      <c r="AH54" s="759"/>
      <c r="AI54" s="759"/>
      <c r="AJ54" s="759"/>
      <c r="AK54" s="759"/>
      <c r="AL54" s="759"/>
      <c r="AM54" s="759"/>
      <c r="AN54" s="759"/>
      <c r="AO54" s="759"/>
      <c r="AP54" s="759"/>
      <c r="AQ54" s="759"/>
      <c r="AR54" s="759"/>
      <c r="AS54" s="759"/>
      <c r="AT54" s="759"/>
      <c r="AU54" s="759"/>
      <c r="AV54" s="759"/>
      <c r="AW54" s="759"/>
      <c r="AX54" s="759"/>
      <c r="AY54" s="759"/>
      <c r="AZ54" s="759"/>
      <c r="BA54" s="759"/>
      <c r="BB54" s="759"/>
      <c r="BC54" s="759"/>
      <c r="BD54" s="759"/>
      <c r="BE54" s="759"/>
      <c r="BF54" s="759"/>
      <c r="BG54" s="759"/>
      <c r="BH54" s="759"/>
      <c r="BI54" s="759"/>
      <c r="BJ54" s="759"/>
      <c r="BK54" s="759"/>
      <c r="BL54" s="759"/>
      <c r="BM54" s="759"/>
      <c r="BN54" s="759"/>
      <c r="BO54" s="759"/>
      <c r="BP54" s="759"/>
      <c r="BQ54" s="759"/>
      <c r="BR54" s="759"/>
      <c r="BS54" s="759"/>
      <c r="BT54" s="759"/>
      <c r="BU54" s="759"/>
      <c r="BV54" s="759"/>
      <c r="BW54" s="759"/>
      <c r="BX54" s="759"/>
      <c r="BY54" s="759"/>
      <c r="BZ54" s="759"/>
      <c r="CA54" s="759"/>
      <c r="CB54" s="759"/>
      <c r="CC54" s="759"/>
      <c r="CD54" s="759"/>
      <c r="CE54" s="759"/>
      <c r="CF54" s="759"/>
      <c r="CG54" s="759"/>
      <c r="CH54" s="759"/>
      <c r="CI54" s="759"/>
      <c r="CJ54" s="759"/>
      <c r="CK54" s="759"/>
      <c r="CL54" s="759"/>
      <c r="CM54" s="759"/>
      <c r="CN54" s="759"/>
      <c r="CO54" s="759"/>
      <c r="CP54" s="759"/>
      <c r="CQ54" s="759"/>
      <c r="CR54" s="759"/>
      <c r="CS54" s="759"/>
      <c r="CT54" s="759"/>
      <c r="CU54" s="759"/>
      <c r="CV54" s="759"/>
      <c r="CW54" s="759"/>
      <c r="CX54" s="759"/>
      <c r="CY54" s="759"/>
      <c r="CZ54" s="759"/>
      <c r="DA54" s="759"/>
      <c r="DB54" s="759"/>
      <c r="DC54" s="759"/>
      <c r="DD54" s="759"/>
      <c r="DE54" s="759"/>
      <c r="DF54" s="759"/>
      <c r="DG54" s="759"/>
      <c r="DH54" s="759"/>
      <c r="DI54" s="759"/>
      <c r="DJ54" s="759"/>
      <c r="DK54" s="759"/>
      <c r="DL54" s="759"/>
      <c r="DM54" s="759"/>
      <c r="DN54" s="759"/>
      <c r="DO54" s="759"/>
      <c r="DP54" s="759"/>
      <c r="DQ54" s="759"/>
      <c r="DR54" s="759"/>
      <c r="DS54" s="759"/>
      <c r="DT54" s="759"/>
      <c r="DU54" s="759"/>
      <c r="DV54" s="759"/>
      <c r="DW54" s="759"/>
      <c r="DX54" s="759"/>
      <c r="DY54" s="759"/>
      <c r="DZ54" s="759"/>
      <c r="EA54" s="759"/>
      <c r="EB54" s="759"/>
      <c r="EC54" s="759"/>
      <c r="ED54" s="759"/>
      <c r="EE54" s="759"/>
      <c r="EF54" s="759"/>
      <c r="EG54" s="759"/>
      <c r="EH54" s="759"/>
      <c r="EI54" s="759"/>
      <c r="EJ54" s="759"/>
      <c r="EK54" s="759"/>
      <c r="EL54" s="759"/>
      <c r="EM54" s="759"/>
      <c r="EN54" s="759"/>
      <c r="EO54" s="759"/>
      <c r="EP54" s="759"/>
      <c r="EQ54" s="759"/>
      <c r="ER54" s="759"/>
      <c r="ES54" s="759"/>
      <c r="ET54" s="759"/>
      <c r="EU54" s="759"/>
      <c r="EV54" s="759"/>
      <c r="EW54" s="759"/>
      <c r="EX54" s="759"/>
      <c r="EY54" s="759"/>
      <c r="EZ54" s="759"/>
      <c r="FA54" s="759"/>
      <c r="FB54" s="759"/>
      <c r="FC54" s="759"/>
      <c r="FD54" s="759"/>
      <c r="FE54" s="759"/>
      <c r="FF54" s="759"/>
      <c r="FG54" s="759"/>
      <c r="FH54" s="759"/>
      <c r="FI54" s="759"/>
      <c r="FJ54" s="759"/>
      <c r="FK54" s="759"/>
      <c r="FL54" s="759"/>
      <c r="FM54" s="759"/>
      <c r="FN54" s="759"/>
      <c r="FO54" s="759"/>
      <c r="FP54" s="759"/>
      <c r="FQ54" s="759"/>
      <c r="FR54" s="759"/>
      <c r="FS54" s="759"/>
      <c r="FT54" s="759"/>
      <c r="FU54" s="759"/>
      <c r="FV54" s="759"/>
      <c r="FW54" s="759"/>
      <c r="FX54" s="759"/>
      <c r="FY54" s="759"/>
      <c r="FZ54" s="759"/>
      <c r="GA54" s="759"/>
      <c r="GB54" s="759"/>
      <c r="GC54" s="759"/>
      <c r="GD54" s="759"/>
      <c r="GE54" s="759"/>
      <c r="GF54" s="759"/>
      <c r="GG54" s="759"/>
      <c r="GH54" s="759"/>
      <c r="GI54" s="759"/>
      <c r="GJ54" s="759"/>
      <c r="GK54" s="759"/>
      <c r="GL54" s="759"/>
      <c r="GM54" s="759"/>
      <c r="GN54" s="759"/>
      <c r="GO54" s="759"/>
      <c r="GP54" s="759"/>
      <c r="GQ54" s="759"/>
      <c r="GR54" s="759"/>
      <c r="GS54" s="759"/>
      <c r="GT54" s="759"/>
      <c r="GU54" s="759"/>
      <c r="GV54" s="759"/>
      <c r="GW54" s="759"/>
      <c r="GX54" s="759"/>
      <c r="GY54" s="759"/>
      <c r="GZ54" s="759"/>
      <c r="HA54" s="759"/>
      <c r="HB54" s="759"/>
      <c r="HC54" s="759"/>
      <c r="HD54" s="759"/>
      <c r="HE54" s="759"/>
      <c r="HF54" s="759"/>
      <c r="HG54" s="759"/>
      <c r="HH54" s="759"/>
      <c r="HI54" s="759"/>
      <c r="HJ54" s="759"/>
      <c r="HK54" s="759"/>
      <c r="HL54" s="759"/>
      <c r="HM54" s="759"/>
      <c r="HN54" s="759"/>
      <c r="HO54" s="759"/>
      <c r="HP54" s="759"/>
      <c r="HQ54" s="759"/>
      <c r="HR54" s="759"/>
      <c r="HS54" s="759"/>
      <c r="HT54" s="759"/>
      <c r="HU54" s="759"/>
      <c r="HV54" s="759"/>
      <c r="HW54" s="759"/>
      <c r="HX54" s="759"/>
      <c r="HY54" s="759"/>
      <c r="HZ54" s="759"/>
      <c r="IA54" s="759"/>
      <c r="IB54" s="759"/>
      <c r="IC54" s="759"/>
      <c r="ID54" s="759"/>
      <c r="IE54" s="759"/>
      <c r="IF54" s="759"/>
      <c r="IG54" s="759"/>
      <c r="IH54" s="759"/>
      <c r="II54" s="759"/>
      <c r="IJ54" s="759"/>
      <c r="IK54" s="759"/>
      <c r="IL54" s="759"/>
      <c r="IM54" s="759"/>
      <c r="IN54" s="759"/>
      <c r="IO54" s="759"/>
      <c r="IP54" s="759"/>
    </row>
    <row r="55" spans="1:250">
      <c r="A55" s="29"/>
      <c r="D55" s="129"/>
      <c r="E55" s="759"/>
      <c r="F55" s="759"/>
      <c r="G55" s="759"/>
      <c r="H55" s="759"/>
      <c r="L55" s="759"/>
      <c r="M55" s="759"/>
      <c r="N55" s="759"/>
      <c r="O55" s="759"/>
      <c r="P55" s="759"/>
    </row>
    <row r="56" spans="1:250">
      <c r="E56" s="759"/>
      <c r="F56" s="759"/>
      <c r="G56" s="759"/>
      <c r="H56" s="759"/>
      <c r="L56" s="759"/>
      <c r="M56" s="759"/>
      <c r="N56" s="759"/>
      <c r="O56" s="759"/>
      <c r="P56" s="759"/>
    </row>
    <row r="57" spans="1:250">
      <c r="E57" s="279"/>
      <c r="F57" s="279"/>
      <c r="G57" s="279"/>
      <c r="H57" s="279"/>
      <c r="L57" s="318"/>
      <c r="M57" s="759"/>
      <c r="N57" s="759"/>
      <c r="O57" s="759"/>
      <c r="P57" s="759"/>
    </row>
    <row r="58" spans="1:250">
      <c r="E58" s="279"/>
      <c r="F58" s="279"/>
      <c r="G58" s="279"/>
      <c r="H58" s="279"/>
      <c r="L58" s="759"/>
      <c r="M58" s="759"/>
      <c r="N58" s="759"/>
      <c r="O58" s="759"/>
      <c r="P58" s="759"/>
    </row>
    <row r="61" spans="1:250">
      <c r="D61" s="279"/>
      <c r="E61" s="279"/>
      <c r="F61" s="279"/>
      <c r="G61" s="279"/>
      <c r="H61" s="279"/>
      <c r="J61" s="279"/>
      <c r="L61" s="759"/>
      <c r="M61" s="759"/>
      <c r="N61" s="759"/>
      <c r="O61" s="759"/>
      <c r="P61" s="759"/>
    </row>
    <row r="63" spans="1:250">
      <c r="E63" s="279"/>
      <c r="F63" s="279"/>
      <c r="G63" s="279"/>
      <c r="H63" s="279"/>
      <c r="L63" s="759"/>
      <c r="M63" s="759"/>
      <c r="N63" s="759"/>
      <c r="O63" s="759"/>
      <c r="P63" s="759"/>
    </row>
  </sheetData>
  <sheetProtection algorithmName="SHA-512" hashValue="l4kCt8BkPQX/cY0nnr8Vj9spQeioRVx0XvC51LSIgcWlm2dauIVDi5Z8SKfIsHrhFz3ZUvipu7/5VN2gFIZGnQ==" saltValue="eaZvh5od/r07zS0WCvMGzA==" spinCount="100000" sheet="1" autoFilter="0"/>
  <mergeCells count="10">
    <mergeCell ref="C49:D49"/>
    <mergeCell ref="A6:C6"/>
    <mergeCell ref="A8:C8"/>
    <mergeCell ref="A9:C9"/>
    <mergeCell ref="A4:C4"/>
    <mergeCell ref="E11:H11"/>
    <mergeCell ref="C35:D35"/>
    <mergeCell ref="A38:H38"/>
    <mergeCell ref="E23:H23"/>
    <mergeCell ref="A5:C5"/>
  </mergeCells>
  <conditionalFormatting sqref="C10">
    <cfRule type="containsText" dxfId="190" priority="53" operator="containsText" text="Selected">
      <formula>NOT(ISERROR(SEARCH("Selected",C10)))</formula>
    </cfRule>
    <cfRule type="containsText" dxfId="189" priority="54" operator="containsText" text="No">
      <formula>NOT(ISERROR(SEARCH("No",C10)))</formula>
    </cfRule>
  </conditionalFormatting>
  <conditionalFormatting sqref="E14">
    <cfRule type="expression" dxfId="188" priority="7">
      <formula>$D$4&lt;&gt;""</formula>
    </cfRule>
  </conditionalFormatting>
  <conditionalFormatting sqref="E15:H49">
    <cfRule type="expression" dxfId="187" priority="6">
      <formula>$D$4=""</formula>
    </cfRule>
  </conditionalFormatting>
  <conditionalFormatting sqref="H13">
    <cfRule type="containsText" dxfId="186" priority="1" operator="containsText" text="No">
      <formula>NOT(ISERROR(SEARCH("No",H13)))</formula>
    </cfRule>
    <cfRule type="containsText" dxfId="185" priority="2" operator="containsText" text="Yes">
      <formula>NOT(ISERROR(SEARCH("Yes",H13)))</formula>
    </cfRule>
  </conditionalFormatting>
  <conditionalFormatting sqref="H22">
    <cfRule type="expression" dxfId="184" priority="14">
      <formula>$H$13="No"</formula>
    </cfRule>
  </conditionalFormatting>
  <dataValidations disablePrompts="1" count="3">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06767450-C128-41D6-9CAA-462D2D23B31D}">
      <formula1>dd_BldgTypes2</formula1>
    </dataValidation>
    <dataValidation type="list" allowBlank="1" showInputMessage="1" showErrorMessage="1" promptTitle="NO BLANKS" prompt="Select from drop down list." sqref="D4" xr:uid="{4A91CB02-F610-4D4E-A756-153641B5F996}">
      <formula1>CM_ProjectType</formula1>
    </dataValidation>
    <dataValidation type="list" allowBlank="1" showInputMessage="1" showErrorMessage="1" sqref="H13" xr:uid="{E33386E6-9327-48FB-85E0-CC74D24A8706}">
      <formula1>$AA$1:$AA$3</formula1>
    </dataValidation>
  </dataValidations>
  <hyperlinks>
    <hyperlink ref="A9:B9"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BUILDING CATEGORY" prompt="Selelct from drop down list." xr:uid="{111413C1-363D-4361-9F74-07355CE2D30B}">
          <x14:formula1>
            <xm:f>'VBCCD BldgTypes'!$E$3:$Y$3</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43731</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Approved Template</TermName>
          <TermId xmlns="http://schemas.microsoft.com/office/infopath/2007/PartnerControls">98517f85-5088-4bf4-a9a3-a7d050ae280e</TermId>
        </TermInfo>
      </Terms>
    </a2b2925f89424e5ea61293b13ae30a39>
    <Final1 xmlns="86a43da4-4ab0-4298-9469-8b62a3adde5a">false</Final1>
    <_dlc_DocId xmlns="86a43da4-4ab0-4298-9469-8b62a3adde5a">BCOM-1944716176-394</_dlc_DocId>
    <LiveLinkID xmlns="86a43da4-4ab0-4298-9469-8b62a3adde5a" xsi:nil="true"/>
    <_dlc_DocIdUrl xmlns="86a43da4-4ab0-4298-9469-8b62a3adde5a">
      <Url>https://covgov.sharepoint.com/sites/dgs-cpu/cradm/_layouts/15/DocIdRedir.aspx?ID=BCOM-1944716176-394</Url>
      <Description>BCOM-1944716176-394</Description>
    </_dlc_DocIdUrl>
    <c133cc8d12ae48a981385e46ee7063e4 xmlns="86a43da4-4ab0-4298-9469-8b62a3adde5a"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75ec61bb2df34d9cf1b5f734e5a78520">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f6ee5a238938ec9dd2aaf2bade192ee8"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242F2E7-77DC-45F1-95D8-8D0EB9564F4E}"/>
</file>

<file path=customXml/itemProps2.xml><?xml version="1.0" encoding="utf-8"?>
<ds:datastoreItem xmlns:ds="http://schemas.openxmlformats.org/officeDocument/2006/customXml" ds:itemID="{2F1449E6-4C3E-45DD-8339-47812372676E}"/>
</file>

<file path=customXml/itemProps3.xml><?xml version="1.0" encoding="utf-8"?>
<ds:datastoreItem xmlns:ds="http://schemas.openxmlformats.org/officeDocument/2006/customXml" ds:itemID="{7387C475-5197-43C4-9F9B-016499E0070A}"/>
</file>

<file path=customXml/itemProps4.xml><?xml version="1.0" encoding="utf-8"?>
<ds:datastoreItem xmlns:ds="http://schemas.openxmlformats.org/officeDocument/2006/customXml" ds:itemID="{F579D280-A356-45A4-9EEE-D74C838458B6}"/>
</file>

<file path=customXml/itemProps5.xml><?xml version="1.0" encoding="utf-8"?>
<ds:datastoreItem xmlns:ds="http://schemas.openxmlformats.org/officeDocument/2006/customXml" ds:itemID="{D82257E1-8CBD-45EA-8448-66516253F902}"/>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cov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dgs-30-199_July 2025_cr-1_project_planner</dc:title>
  <dc:subject/>
  <dc:creator>bcom</dc:creator>
  <cp:keywords/>
  <dc:description/>
  <cp:lastModifiedBy/>
  <cp:revision/>
  <dcterms:created xsi:type="dcterms:W3CDTF">2003-03-20T14:47:59Z</dcterms:created>
  <dcterms:modified xsi:type="dcterms:W3CDTF">2026-06-03T18:25:56Z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b34a21a6-c3bc-4604-a64e-b82d7de88ce4</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43731;#Approved Template|98517f85-5088-4bf4-a9a3-a7d050ae280e</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